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" sheetId="1" r:id="rId4"/>
    <sheet state="visible" name="Calculations" sheetId="2" r:id="rId5"/>
  </sheets>
  <definedNames>
    <definedName name="Diameter">Calculations!$B$5:$B$29</definedName>
    <definedName name="Env">Calculations!$B$6:$S$29</definedName>
  </definedNames>
  <calcPr/>
</workbook>
</file>

<file path=xl/sharedStrings.xml><?xml version="1.0" encoding="utf-8"?>
<sst xmlns="http://schemas.openxmlformats.org/spreadsheetml/2006/main" count="96" uniqueCount="63">
  <si>
    <t>Environmental Calculator</t>
  </si>
  <si>
    <t>Diameter in Millimeters</t>
  </si>
  <si>
    <t>Length in Meters</t>
  </si>
  <si>
    <t>CSP</t>
  </si>
  <si>
    <t>RCP</t>
  </si>
  <si>
    <t>% Difference</t>
  </si>
  <si>
    <r>
      <rPr>
        <rFont val="calibri"/>
        <b/>
        <color theme="0"/>
        <sz val="18.0"/>
      </rPr>
      <t>Global Warming CO</t>
    </r>
    <r>
      <rPr>
        <rFont val="Calibri"/>
        <b/>
        <color theme="0"/>
        <sz val="18.0"/>
        <vertAlign val="subscript"/>
      </rPr>
      <t>2</t>
    </r>
    <r>
      <rPr>
        <rFont val="Calibri"/>
        <b/>
        <color theme="0"/>
        <sz val="18.0"/>
      </rPr>
      <t xml:space="preserve"> (Tonnes)</t>
    </r>
  </si>
  <si>
    <t xml:space="preserve">  Equivalent - KM's Driven</t>
  </si>
  <si>
    <t>Fresh Water (Liters)</t>
  </si>
  <si>
    <t xml:space="preserve">  Equivalent - No. of Plastic Bottles to Landfill*</t>
  </si>
  <si>
    <t>Total Primary Energy (Megajoules)</t>
  </si>
  <si>
    <t xml:space="preserve">  Equivalent - Smart Phones Charged</t>
  </si>
  <si>
    <t>References: CSPI Environmental Product Declaration - SCS-EPD-05002, CCPPA EPD - ASTM Certified, AGECO LCA of CSP vs RCP (Nov 2020), * 500ml</t>
  </si>
  <si>
    <t>Concrete</t>
  </si>
  <si>
    <t>Category</t>
  </si>
  <si>
    <t>Units</t>
  </si>
  <si>
    <t>Production</t>
  </si>
  <si>
    <t>Transport</t>
  </si>
  <si>
    <t>Manufacturing</t>
  </si>
  <si>
    <t>End of Life</t>
  </si>
  <si>
    <t>Total MT</t>
  </si>
  <si>
    <t>Total KGs</t>
  </si>
  <si>
    <t>GWP</t>
  </si>
  <si>
    <t>Fresh Water</t>
  </si>
  <si>
    <t>P.E.</t>
  </si>
  <si>
    <t>KM / MT</t>
  </si>
  <si>
    <t>LT to BT</t>
  </si>
  <si>
    <t>No to MT</t>
  </si>
  <si>
    <t>KG/Meter</t>
  </si>
  <si>
    <r>
      <rPr>
        <rFont val="calibri"/>
        <color theme="1"/>
      </rPr>
      <t>CO</t>
    </r>
    <r>
      <rPr>
        <rFont val="Calibri"/>
        <color theme="1"/>
        <sz val="8.0"/>
      </rPr>
      <t>2</t>
    </r>
    <r>
      <rPr>
        <rFont val="Calibri"/>
        <color theme="1"/>
        <sz val="11.0"/>
      </rPr>
      <t xml:space="preserve"> Metric Ton</t>
    </r>
  </si>
  <si>
    <t>Profile</t>
  </si>
  <si>
    <t>Diameter</t>
  </si>
  <si>
    <t>MT/Meter</t>
  </si>
  <si>
    <t>LT/Meter</t>
  </si>
  <si>
    <t>MJ/Meter</t>
  </si>
  <si>
    <t>KM/Meter</t>
  </si>
  <si>
    <t>500ML/M</t>
  </si>
  <si>
    <t>Per/meter</t>
  </si>
  <si>
    <t>Length</t>
  </si>
  <si>
    <t>KG per Pc</t>
  </si>
  <si>
    <t>B or C</t>
  </si>
  <si>
    <t>Cubic Meters</t>
  </si>
  <si>
    <t>68 x 13</t>
  </si>
  <si>
    <t>Global Warming Potential (MT/MT)</t>
  </si>
  <si>
    <t>Fresh Water (L/MT)</t>
  </si>
  <si>
    <t>Liters</t>
  </si>
  <si>
    <t>Spiral Rib</t>
  </si>
  <si>
    <t>Total Primary Energy (MJ/MT)</t>
  </si>
  <si>
    <t>Total Primary</t>
  </si>
  <si>
    <t>Renewable</t>
  </si>
  <si>
    <t>Energy</t>
  </si>
  <si>
    <t>Megajoules</t>
  </si>
  <si>
    <t>Non-renew</t>
  </si>
  <si>
    <t>Total</t>
  </si>
  <si>
    <r>
      <rPr>
        <rFont val="calibri"/>
        <color theme="1"/>
      </rPr>
      <t>CO</t>
    </r>
    <r>
      <rPr>
        <rFont val="Calibri"/>
        <color theme="1"/>
        <sz val="8.0"/>
      </rPr>
      <t>2</t>
    </r>
    <r>
      <rPr>
        <rFont val="Calibri"/>
        <color theme="1"/>
        <sz val="11.0"/>
      </rPr>
      <t xml:space="preserve"> KGs</t>
    </r>
  </si>
  <si>
    <t>125 x 25</t>
  </si>
  <si>
    <t>carbon footprint per gallon of water</t>
  </si>
  <si>
    <r>
      <rPr>
        <rFont val="Arial"/>
        <color rgb="FF202124"/>
        <sz val="10.0"/>
      </rPr>
      <t>Divide by one million, and we get 0.000004082 metric tons </t>
    </r>
    <r>
      <rPr>
        <rFont val="Arial"/>
        <b/>
        <color rgb="FF202124"/>
        <sz val="10.0"/>
      </rPr>
      <t>per gallon</t>
    </r>
    <r>
      <rPr>
        <rFont val="Arial"/>
        <color rgb="FF202124"/>
        <sz val="10.0"/>
      </rPr>
      <t>. An easier calculation is to take the number of </t>
    </r>
    <r>
      <rPr>
        <rFont val="Arial"/>
        <b/>
        <color rgb="FF202124"/>
        <sz val="10.0"/>
      </rPr>
      <t>gallons</t>
    </r>
    <r>
      <rPr>
        <rFont val="Arial"/>
        <color rgb="FF202124"/>
        <sz val="10.0"/>
      </rPr>
      <t xml:space="preserve"> and divide by 244,956. </t>
    </r>
  </si>
  <si>
    <r>
      <rPr>
        <rFont val="Arial"/>
        <color rgb="FF202124"/>
        <sz val="10.0"/>
      </rPr>
      <t>If you use 2,000 </t>
    </r>
    <r>
      <rPr>
        <rFont val="Arial"/>
        <b/>
        <color rgb="FF202124"/>
        <sz val="10.0"/>
      </rPr>
      <t>gallons per</t>
    </r>
    <r>
      <rPr>
        <rFont val="Arial"/>
        <color rgb="FF202124"/>
        <sz val="10.0"/>
      </rPr>
      <t> month, your </t>
    </r>
    <r>
      <rPr>
        <rFont val="Arial"/>
        <b/>
        <color rgb="FF202124"/>
        <sz val="10.0"/>
      </rPr>
      <t>carbon emissions</t>
    </r>
    <r>
      <rPr>
        <rFont val="Arial"/>
        <color rgb="FF202124"/>
        <sz val="10.0"/>
      </rPr>
      <t> for </t>
    </r>
    <r>
      <rPr>
        <rFont val="Arial"/>
        <b/>
        <color rgb="FF202124"/>
        <sz val="10.0"/>
      </rPr>
      <t>water</t>
    </r>
    <r>
      <rPr>
        <rFont val="Arial"/>
        <color rgb="FF202124"/>
        <sz val="10.0"/>
      </rPr>
      <t> would be 2,000/244956 = 0.008 metric tons.</t>
    </r>
    <r>
      <rPr>
        <rFont val="Arial"/>
        <color rgb="FF70757A"/>
        <sz val="10.0"/>
      </rPr>
      <t>Dec. 5, 2012</t>
    </r>
  </si>
  <si>
    <t>Gallons</t>
  </si>
  <si>
    <t>MT</t>
  </si>
  <si>
    <t>Per Gallon</t>
  </si>
  <si>
    <t>95 liters to produce 1 KWH of Electricity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</si>
</sst>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2">
    <numFmt numFmtId="164" formatCode="#,##0.0000"/>
    <numFmt numFmtId="165" formatCode="_-* #,##0.00_-;\-* #,##0.00_-;_-* &quot;-&quot;??_-;_-@"/>
    <numFmt numFmtId="166" formatCode="0.000"/>
    <numFmt numFmtId="167" formatCode="_-* #,##0.000_-;\-* #,##0.000_-;_-* &quot;-&quot;??_-;_-@"/>
    <numFmt numFmtId="168" formatCode="0.0"/>
    <numFmt numFmtId="169" formatCode="0.0000"/>
    <numFmt numFmtId="170" formatCode="_-* #,##0_-;\-* #,##0_-;_-* &quot;-&quot;??_-;_-@"/>
    <numFmt numFmtId="171" formatCode="_-* #,##0.0_-;\-* #,##0.0_-;_-* &quot;-&quot;??_-;_-@"/>
    <numFmt numFmtId="172" formatCode="#,##0_ ;\-#,##0\ "/>
    <numFmt numFmtId="173" formatCode="0.00000000"/>
    <numFmt numFmtId="174" formatCode="0.0000000"/>
    <numFmt numFmtId="175" formatCode="0.00000"/>
  </numFmts>
  <fonts count="22">
    <font>
      <sz val="11.0"/>
      <color theme="1"/>
      <name val="Arial"/>
    </font>
    <font>
      <sz val="11.0"/>
      <color theme="1"/>
      <name val="Calibri"/>
    </font>
    <font>
      <b/>
      <sz val="20.0"/>
      <color theme="0"/>
      <name val="Calibri"/>
    </font>
    <font/>
    <font>
      <sz val="20.0"/>
      <color theme="1"/>
      <name val="Calibri"/>
    </font>
    <font>
      <sz val="20.0"/>
      <color theme="0"/>
      <name val="Calibri"/>
    </font>
    <font>
      <b/>
      <sz val="20.0"/>
      <color rgb="FF0070C0"/>
      <name val="Arial"/>
    </font>
    <font>
      <b/>
      <sz val="20.0"/>
      <color rgb="FF0070C0"/>
      <name val="Calibri"/>
    </font>
    <font>
      <b/>
      <sz val="20.0"/>
      <color theme="1"/>
      <name val="Calibri"/>
    </font>
    <font>
      <b/>
      <sz val="18.0"/>
      <color theme="0"/>
      <name val="Calibri"/>
    </font>
    <font>
      <b/>
      <sz val="18.0"/>
      <color theme="1"/>
      <name val="Calibri"/>
    </font>
    <font>
      <sz val="14.0"/>
      <color theme="1"/>
      <name val="Calibri"/>
    </font>
    <font>
      <b/>
      <sz val="16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sz val="10.0"/>
      <color rgb="FF0070C0"/>
      <name val="Calibri"/>
    </font>
    <font>
      <color theme="1"/>
      <name val="Calibri"/>
    </font>
    <font>
      <sz val="11.0"/>
      <color rgb="FF0070C0"/>
      <name val="Calibri"/>
    </font>
    <font>
      <u/>
      <sz val="11.0"/>
      <color rgb="FF0070C0"/>
      <name val="Calibri"/>
    </font>
    <font>
      <u/>
      <sz val="11.0"/>
      <color rgb="FF0070C0"/>
      <name val="Calibri"/>
    </font>
    <font>
      <u/>
      <sz val="11.0"/>
      <color rgb="FF0070C0"/>
      <name val="Calibri"/>
    </font>
    <font>
      <sz val="10.0"/>
      <color rgb="FF202124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00B050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medium">
        <color rgb="FF0070C0"/>
      </right>
      <top style="medium">
        <color rgb="FF0070C0"/>
      </top>
      <bottom style="medium">
        <color rgb="FF0070C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3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2" fontId="1" numFmtId="0" xfId="0" applyBorder="1" applyFont="1"/>
    <xf borderId="0" fillId="0" fontId="4" numFmtId="0" xfId="0" applyFont="1"/>
    <xf borderId="0" fillId="0" fontId="1" numFmtId="0" xfId="0" applyFont="1"/>
    <xf borderId="9" fillId="4" fontId="5" numFmtId="0" xfId="0" applyBorder="1" applyFill="1" applyFont="1"/>
    <xf borderId="10" fillId="0" fontId="6" numFmtId="0" xfId="0" applyAlignment="1" applyBorder="1" applyFont="1">
      <alignment horizontal="center" readingOrder="0"/>
    </xf>
    <xf borderId="10" fillId="0" fontId="7" numFmtId="3" xfId="0" applyAlignment="1" applyBorder="1" applyFont="1" applyNumberFormat="1">
      <alignment horizontal="center"/>
    </xf>
    <xf borderId="11" fillId="0" fontId="8" numFmtId="0" xfId="0" applyAlignment="1" applyBorder="1" applyFont="1">
      <alignment horizontal="center"/>
    </xf>
    <xf borderId="12" fillId="0" fontId="8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2" fillId="4" fontId="9" numFmtId="0" xfId="0" applyBorder="1" applyFont="1"/>
    <xf borderId="12" fillId="3" fontId="9" numFmtId="4" xfId="0" applyAlignment="1" applyBorder="1" applyFont="1" applyNumberFormat="1">
      <alignment horizontal="center"/>
    </xf>
    <xf borderId="12" fillId="5" fontId="9" numFmtId="4" xfId="0" applyAlignment="1" applyBorder="1" applyFill="1" applyFont="1" applyNumberFormat="1">
      <alignment horizontal="center"/>
    </xf>
    <xf borderId="12" fillId="6" fontId="10" numFmtId="9" xfId="0" applyAlignment="1" applyBorder="1" applyFill="1" applyFont="1" applyNumberFormat="1">
      <alignment horizontal="center"/>
    </xf>
    <xf borderId="0" fillId="0" fontId="10" numFmtId="9" xfId="0" applyAlignment="1" applyFont="1" applyNumberFormat="1">
      <alignment horizontal="center"/>
    </xf>
    <xf borderId="0" fillId="0" fontId="1" numFmtId="3" xfId="0" applyFont="1" applyNumberFormat="1"/>
    <xf borderId="0" fillId="0" fontId="1" numFmtId="164" xfId="0" applyFont="1" applyNumberFormat="1"/>
    <xf borderId="12" fillId="0" fontId="11" numFmtId="0" xfId="0" applyBorder="1" applyFont="1"/>
    <xf borderId="12" fillId="0" fontId="11" numFmtId="3" xfId="0" applyAlignment="1" applyBorder="1" applyFont="1" applyNumberFormat="1">
      <alignment horizontal="center"/>
    </xf>
    <xf borderId="12" fillId="0" fontId="12" numFmtId="9" xfId="0" applyAlignment="1" applyBorder="1" applyFont="1" applyNumberFormat="1">
      <alignment horizontal="center"/>
    </xf>
    <xf borderId="0" fillId="0" fontId="12" numFmtId="9" xfId="0" applyAlignment="1" applyFont="1" applyNumberFormat="1">
      <alignment horizontal="center"/>
    </xf>
    <xf borderId="12" fillId="3" fontId="9" numFmtId="3" xfId="0" applyAlignment="1" applyBorder="1" applyFont="1" applyNumberFormat="1">
      <alignment horizontal="center"/>
    </xf>
    <xf borderId="12" fillId="5" fontId="9" numFmtId="3" xfId="0" applyAlignment="1" applyBorder="1" applyFont="1" applyNumberFormat="1">
      <alignment horizontal="center"/>
    </xf>
    <xf borderId="13" fillId="4" fontId="9" numFmtId="0" xfId="0" applyBorder="1" applyFont="1"/>
    <xf borderId="13" fillId="5" fontId="9" numFmtId="3" xfId="0" applyAlignment="1" applyBorder="1" applyFont="1" applyNumberFormat="1">
      <alignment horizontal="center"/>
    </xf>
    <xf borderId="14" fillId="0" fontId="13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2" fontId="1" numFmtId="0" xfId="0" applyBorder="1" applyFont="1"/>
    <xf borderId="18" fillId="2" fontId="1" numFmtId="0" xfId="0" applyBorder="1" applyFont="1"/>
    <xf borderId="19" fillId="2" fontId="1" numFmtId="0" xfId="0" applyBorder="1" applyFont="1"/>
    <xf borderId="14" fillId="0" fontId="13" numFmtId="0" xfId="0" applyAlignment="1" applyBorder="1" applyFont="1">
      <alignment horizontal="center"/>
    </xf>
    <xf borderId="15" fillId="0" fontId="3" numFmtId="0" xfId="0" applyBorder="1" applyFont="1"/>
    <xf borderId="0" fillId="0" fontId="13" numFmtId="165" xfId="0" applyFont="1" applyNumberFormat="1"/>
    <xf borderId="0" fillId="0" fontId="13" numFmtId="0" xfId="0" applyFont="1"/>
    <xf borderId="20" fillId="0" fontId="14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12" fillId="0" fontId="13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12" fillId="0" fontId="13" numFmtId="165" xfId="0" applyBorder="1" applyFont="1" applyNumberFormat="1"/>
    <xf borderId="12" fillId="0" fontId="13" numFmtId="165" xfId="0" applyAlignment="1" applyBorder="1" applyFont="1" applyNumberFormat="1">
      <alignment horizontal="center"/>
    </xf>
    <xf borderId="15" fillId="0" fontId="13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21" fillId="0" fontId="1" numFmtId="0" xfId="0" applyBorder="1" applyFont="1"/>
    <xf borderId="12" fillId="0" fontId="13" numFmtId="166" xfId="0" applyAlignment="1" applyBorder="1" applyFont="1" applyNumberFormat="1">
      <alignment horizontal="center"/>
    </xf>
    <xf borderId="12" fillId="0" fontId="13" numFmtId="3" xfId="0" applyAlignment="1" applyBorder="1" applyFont="1" applyNumberFormat="1">
      <alignment horizontal="center"/>
    </xf>
    <xf borderId="22" fillId="0" fontId="15" numFmtId="3" xfId="0" applyAlignment="1" applyBorder="1" applyFont="1" applyNumberFormat="1">
      <alignment horizontal="center"/>
    </xf>
    <xf borderId="12" fillId="0" fontId="15" numFmtId="2" xfId="0" applyAlignment="1" applyBorder="1" applyFont="1" applyNumberFormat="1">
      <alignment horizontal="center"/>
    </xf>
    <xf borderId="12" fillId="0" fontId="15" numFmtId="1" xfId="0" applyAlignment="1" applyBorder="1" applyFont="1" applyNumberFormat="1">
      <alignment horizontal="center"/>
    </xf>
    <xf borderId="12" fillId="0" fontId="13" numFmtId="167" xfId="0" applyBorder="1" applyFont="1" applyNumberFormat="1"/>
    <xf borderId="0" fillId="0" fontId="16" numFmtId="0" xfId="0" applyFont="1"/>
    <xf borderId="0" fillId="0" fontId="17" numFmtId="0" xfId="0" applyFont="1"/>
    <xf borderId="0" fillId="0" fontId="14" numFmtId="0" xfId="0" applyFont="1"/>
    <xf borderId="0" fillId="0" fontId="1" numFmtId="165" xfId="0" applyFont="1" applyNumberFormat="1"/>
    <xf borderId="12" fillId="0" fontId="13" numFmtId="0" xfId="0" applyBorder="1" applyFont="1"/>
    <xf borderId="11" fillId="0" fontId="13" numFmtId="168" xfId="0" applyAlignment="1" applyBorder="1" applyFont="1" applyNumberFormat="1">
      <alignment horizontal="center"/>
    </xf>
    <xf borderId="23" fillId="0" fontId="13" numFmtId="168" xfId="0" applyAlignment="1" applyBorder="1" applyFont="1" applyNumberFormat="1">
      <alignment horizontal="center"/>
    </xf>
    <xf borderId="12" fillId="0" fontId="13" numFmtId="168" xfId="0" applyAlignment="1" applyBorder="1" applyFont="1" applyNumberFormat="1">
      <alignment horizontal="center"/>
    </xf>
    <xf borderId="0" fillId="0" fontId="13" numFmtId="168" xfId="0" applyAlignment="1" applyFont="1" applyNumberFormat="1">
      <alignment horizontal="center"/>
    </xf>
    <xf borderId="0" fillId="0" fontId="17" numFmtId="169" xfId="0" applyFont="1" applyNumberFormat="1"/>
    <xf borderId="0" fillId="0" fontId="13" numFmtId="167" xfId="0" applyFont="1" applyNumberFormat="1"/>
    <xf borderId="0" fillId="0" fontId="13" numFmtId="170" xfId="0" applyFont="1" applyNumberFormat="1"/>
    <xf borderId="0" fillId="0" fontId="13" numFmtId="171" xfId="0" applyFont="1" applyNumberFormat="1"/>
    <xf borderId="0" fillId="0" fontId="13" numFmtId="3" xfId="0" applyFont="1" applyNumberFormat="1"/>
    <xf borderId="0" fillId="0" fontId="13" numFmtId="168" xfId="0" applyFont="1" applyNumberFormat="1"/>
    <xf borderId="0" fillId="0" fontId="13" numFmtId="172" xfId="0" applyFont="1" applyNumberFormat="1"/>
    <xf borderId="0" fillId="0" fontId="17" numFmtId="1" xfId="0" applyFont="1" applyNumberFormat="1"/>
    <xf borderId="0" fillId="0" fontId="14" numFmtId="3" xfId="0" applyFont="1" applyNumberFormat="1"/>
    <xf borderId="0" fillId="0" fontId="14" numFmtId="170" xfId="0" applyFont="1" applyNumberFormat="1"/>
    <xf borderId="0" fillId="0" fontId="1" numFmtId="173" xfId="0" applyFont="1" applyNumberFormat="1"/>
    <xf borderId="0" fillId="0" fontId="13" numFmtId="169" xfId="0" applyFont="1" applyNumberFormat="1"/>
    <xf borderId="0" fillId="0" fontId="17" numFmtId="3" xfId="0" applyFont="1" applyNumberFormat="1"/>
    <xf borderId="0" fillId="0" fontId="17" numFmtId="2" xfId="0" applyFont="1" applyNumberFormat="1"/>
    <xf borderId="0" fillId="0" fontId="18" numFmtId="0" xfId="0" applyFont="1"/>
    <xf borderId="0" fillId="0" fontId="14" numFmtId="2" xfId="0" applyFont="1" applyNumberFormat="1"/>
    <xf borderId="0" fillId="0" fontId="14" numFmtId="1" xfId="0" applyFont="1" applyNumberFormat="1"/>
    <xf borderId="0" fillId="0" fontId="14" numFmtId="174" xfId="0" applyFont="1" applyNumberFormat="1"/>
    <xf borderId="0" fillId="0" fontId="1" numFmtId="166" xfId="0" applyFont="1" applyNumberFormat="1"/>
    <xf borderId="0" fillId="0" fontId="14" numFmtId="175" xfId="0" applyFont="1" applyNumberFormat="1"/>
    <xf borderId="0" fillId="0" fontId="19" numFmtId="173" xfId="0" applyFont="1" applyNumberFormat="1"/>
    <xf borderId="0" fillId="0" fontId="20" numFmtId="166" xfId="0" applyFont="1" applyNumberFormat="1"/>
    <xf borderId="0" fillId="0" fontId="14" numFmtId="169" xfId="0" applyFont="1" applyNumberFormat="1"/>
    <xf borderId="0" fillId="0" fontId="21" numFmtId="0" xfId="0" applyFont="1"/>
    <xf borderId="0" fillId="0" fontId="13" numFmtId="173" xfId="0" applyFont="1" applyNumberFormat="1"/>
    <xf borderId="0" fillId="0" fontId="14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CO2 Tonnes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300 6 CSP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Calculator!$B$7</c:f>
            </c:strRef>
          </c:cat>
          <c:val>
            <c:numRef>
              <c:f>Calculator!$C$7</c:f>
              <c:numCache/>
            </c:numRef>
          </c:val>
        </c:ser>
        <c:ser>
          <c:idx val="1"/>
          <c:order val="1"/>
          <c:tx>
            <c:v>300 6 RCP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cat>
            <c:strRef>
              <c:f>Calculator!$B$7</c:f>
            </c:strRef>
          </c:cat>
          <c:val>
            <c:numRef>
              <c:f>Calculator!$D$7</c:f>
              <c:numCache/>
            </c:numRef>
          </c:val>
        </c:ser>
        <c:axId val="1998074510"/>
        <c:axId val="680313336"/>
      </c:barChart>
      <c:catAx>
        <c:axId val="19980745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0313336"/>
      </c:catAx>
      <c:valAx>
        <c:axId val="680313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807451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3</xdr:row>
      <xdr:rowOff>304800</xdr:rowOff>
    </xdr:from>
    <xdr:ext cx="1362075" cy="17526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733425</xdr:colOff>
      <xdr:row>2</xdr:row>
      <xdr:rowOff>123825</xdr:rowOff>
    </xdr:from>
    <xdr:ext cx="167640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3343275</xdr:colOff>
      <xdr:row>7</xdr:row>
      <xdr:rowOff>19050</xdr:rowOff>
    </xdr:from>
    <xdr:ext cx="228600" cy="2286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3352800</xdr:colOff>
      <xdr:row>9</xdr:row>
      <xdr:rowOff>9525</xdr:rowOff>
    </xdr:from>
    <xdr:ext cx="238125" cy="2476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3352800</xdr:colOff>
      <xdr:row>11</xdr:row>
      <xdr:rowOff>28575</xdr:rowOff>
    </xdr:from>
    <xdr:ext cx="228600" cy="228600"/>
    <xdr:pic>
      <xdr:nvPicPr>
        <xdr:cNvPr id="0" name="image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25</xdr:col>
      <xdr:colOff>0</xdr:colOff>
      <xdr:row>0</xdr:row>
      <xdr:rowOff>0</xdr:rowOff>
    </xdr:from>
    <xdr:ext cx="4981575" cy="398145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9525</xdr:colOff>
      <xdr:row>23</xdr:row>
      <xdr:rowOff>0</xdr:rowOff>
    </xdr:from>
    <xdr:ext cx="5019675" cy="545782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47.25"/>
    <col customWidth="1" min="3" max="5" width="22.5"/>
    <col customWidth="1" min="6" max="6" width="18.13"/>
    <col customWidth="1" min="7" max="7" width="2.38"/>
    <col customWidth="1" min="8" max="26" width="7.63"/>
  </cols>
  <sheetData>
    <row r="1" ht="15.0" customHeight="1">
      <c r="A1" s="1"/>
      <c r="B1" s="2"/>
      <c r="C1" s="2"/>
      <c r="D1" s="2"/>
      <c r="E1" s="2"/>
      <c r="F1" s="2"/>
      <c r="G1" s="3"/>
    </row>
    <row r="2" ht="33.75" customHeight="1">
      <c r="A2" s="4"/>
      <c r="B2" s="5" t="s">
        <v>0</v>
      </c>
      <c r="C2" s="6"/>
      <c r="D2" s="6"/>
      <c r="E2" s="6"/>
      <c r="F2" s="7"/>
      <c r="G2" s="8"/>
    </row>
    <row r="3">
      <c r="A3" s="4"/>
      <c r="B3" s="9"/>
      <c r="C3" s="9"/>
      <c r="D3" s="9"/>
      <c r="E3" s="10"/>
      <c r="F3" s="10"/>
      <c r="G3" s="8"/>
    </row>
    <row r="4">
      <c r="A4" s="4"/>
      <c r="B4" s="11" t="s">
        <v>1</v>
      </c>
      <c r="C4" s="12">
        <v>525.0</v>
      </c>
      <c r="D4" s="9"/>
      <c r="E4" s="10"/>
      <c r="F4" s="10"/>
      <c r="G4" s="8"/>
    </row>
    <row r="5">
      <c r="A5" s="4"/>
      <c r="B5" s="11" t="s">
        <v>2</v>
      </c>
      <c r="C5" s="13">
        <v>6.0</v>
      </c>
      <c r="D5" s="9"/>
      <c r="E5" s="10"/>
      <c r="F5" s="10"/>
      <c r="G5" s="8"/>
    </row>
    <row r="6">
      <c r="A6" s="4"/>
      <c r="B6" s="9"/>
      <c r="C6" s="14" t="s">
        <v>3</v>
      </c>
      <c r="D6" s="15" t="s">
        <v>4</v>
      </c>
      <c r="E6" s="15" t="s">
        <v>5</v>
      </c>
      <c r="F6" s="16"/>
      <c r="G6" s="8"/>
    </row>
    <row r="7">
      <c r="A7" s="4"/>
      <c r="B7" s="17" t="s">
        <v>6</v>
      </c>
      <c r="C7" s="18">
        <f>IF($C$4=0,0,VLOOKUP($C$4,Env,3)*$C$5)</f>
        <v>0.28194414</v>
      </c>
      <c r="D7" s="19">
        <f>IF($C$4=0,0,VLOOKUP($C$4,Env,13)*$C$5)</f>
        <v>0.5977868852</v>
      </c>
      <c r="E7" s="20">
        <f>IF(D7=0,0,(C7/D7)-1)</f>
        <v>-0.52835342</v>
      </c>
      <c r="F7" s="21"/>
      <c r="G7" s="8"/>
      <c r="I7" s="22"/>
      <c r="J7" s="23"/>
    </row>
    <row r="8">
      <c r="A8" s="4"/>
      <c r="B8" s="24" t="s">
        <v>7</v>
      </c>
      <c r="C8" s="25">
        <f>IF($C$4=0,0,VLOOKUP($C$4,Env,6)*$C$5)</f>
        <v>1126.648783</v>
      </c>
      <c r="D8" s="25">
        <f>IF($C$4=0,0,VLOOKUP($C$4,Env,16)*$C$5)</f>
        <v>2388.756393</v>
      </c>
      <c r="E8" s="26"/>
      <c r="F8" s="27"/>
      <c r="G8" s="8"/>
      <c r="I8" s="22"/>
      <c r="J8" s="23"/>
    </row>
    <row r="9">
      <c r="A9" s="4"/>
      <c r="B9" s="17" t="s">
        <v>8</v>
      </c>
      <c r="C9" s="28">
        <f>IF($C$4=0,0,VLOOKUP($C$4,Env,4)*$C$5)</f>
        <v>1828.94664</v>
      </c>
      <c r="D9" s="29">
        <f>IF($C$4=0,0,VLOOKUP($C$4,Env,14)*$C$5)</f>
        <v>4830.983607</v>
      </c>
      <c r="E9" s="20">
        <f>IF(D9=0,0,(C9/D9)-1)</f>
        <v>-0.6214131968</v>
      </c>
      <c r="F9" s="21"/>
      <c r="G9" s="8"/>
    </row>
    <row r="10">
      <c r="A10" s="4"/>
      <c r="B10" s="24" t="s">
        <v>9</v>
      </c>
      <c r="C10" s="25">
        <f>IF($C$4=0,0,VLOOKUP($C$4,Env,7)*$C$5)</f>
        <v>2631.577899</v>
      </c>
      <c r="D10" s="25">
        <f>IF($C$4=0,0,VLOOKUP($C$4,Env,17)*$C$5)</f>
        <v>6951.055549</v>
      </c>
      <c r="E10" s="26"/>
      <c r="F10" s="27"/>
      <c r="G10" s="8"/>
    </row>
    <row r="11">
      <c r="A11" s="4"/>
      <c r="B11" s="30" t="s">
        <v>10</v>
      </c>
      <c r="C11" s="28">
        <f>IF($C$4=0,0,VLOOKUP($C$4,Env,5)*$C$5)</f>
        <v>3884.288058</v>
      </c>
      <c r="D11" s="31">
        <f>IF($C$4=0,0,VLOOKUP($C$4,Env,15)*$C$5)</f>
        <v>7884.836066</v>
      </c>
      <c r="E11" s="20">
        <f>IF(D11=0,0,(C11/D11)-1)</f>
        <v>-0.5073723758</v>
      </c>
      <c r="F11" s="21"/>
      <c r="G11" s="8"/>
    </row>
    <row r="12">
      <c r="A12" s="4"/>
      <c r="B12" s="24" t="s">
        <v>11</v>
      </c>
      <c r="C12" s="25">
        <f>IF($C$4=0,0,VLOOKUP($C$4,Env,8)*$C$5)</f>
        <v>36428.59261</v>
      </c>
      <c r="D12" s="25">
        <f>IF($C$4=0,0,VLOOKUP($C$4,Env,18)*$C$5)</f>
        <v>77237.05451</v>
      </c>
      <c r="E12" s="26"/>
      <c r="F12" s="27"/>
      <c r="G12" s="8"/>
    </row>
    <row r="13" ht="19.5" customHeight="1">
      <c r="A13" s="4"/>
      <c r="B13" s="32"/>
      <c r="C13" s="33"/>
      <c r="D13" s="33"/>
      <c r="E13" s="34"/>
      <c r="F13" s="9"/>
      <c r="G13" s="8"/>
    </row>
    <row r="14" ht="19.5" customHeight="1">
      <c r="A14" s="4"/>
      <c r="B14" s="32" t="s">
        <v>12</v>
      </c>
      <c r="C14" s="33"/>
      <c r="D14" s="33"/>
      <c r="E14" s="34"/>
      <c r="F14" s="9"/>
      <c r="G14" s="8"/>
      <c r="I14" s="22"/>
    </row>
    <row r="15">
      <c r="A15" s="35"/>
      <c r="B15" s="36"/>
      <c r="C15" s="36"/>
      <c r="D15" s="36"/>
      <c r="E15" s="36"/>
      <c r="F15" s="36"/>
      <c r="G15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F2"/>
  </mergeCells>
  <dataValidations>
    <dataValidation type="list" allowBlank="1" showInputMessage="1" showErrorMessage="1" prompt="Input Diameter - Drop down menu" sqref="C4">
      <formula1>Diameter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7.63"/>
    <col customWidth="1" min="5" max="5" width="10.25"/>
    <col customWidth="1" min="6" max="14" width="7.63"/>
    <col customWidth="1" min="15" max="15" width="9.13"/>
    <col customWidth="1" min="16" max="20" width="7.63"/>
    <col customWidth="1" min="21" max="21" width="25.63"/>
    <col customWidth="1" min="22" max="22" width="11.0"/>
    <col customWidth="1" min="23" max="23" width="10.25"/>
    <col customWidth="1" min="24" max="34" width="7.63"/>
    <col customWidth="1" min="35" max="37" width="11.13"/>
    <col customWidth="1" min="38" max="38" width="14.38"/>
    <col customWidth="1" min="39" max="42" width="11.13"/>
  </cols>
  <sheetData>
    <row r="1">
      <c r="A1" s="38" t="s">
        <v>3</v>
      </c>
      <c r="B1" s="39"/>
      <c r="C1" s="39"/>
      <c r="D1" s="39"/>
      <c r="E1" s="39"/>
      <c r="F1" s="39"/>
      <c r="G1" s="40"/>
      <c r="H1" s="40"/>
      <c r="I1" s="40"/>
      <c r="J1" s="40"/>
      <c r="K1" s="38" t="s">
        <v>13</v>
      </c>
      <c r="L1" s="39"/>
      <c r="M1" s="39"/>
      <c r="N1" s="39"/>
      <c r="O1" s="39"/>
      <c r="P1" s="39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I1" s="42" t="s">
        <v>14</v>
      </c>
      <c r="AJ1" s="42" t="s">
        <v>15</v>
      </c>
      <c r="AK1" s="42" t="s">
        <v>16</v>
      </c>
      <c r="AL1" s="42" t="s">
        <v>17</v>
      </c>
      <c r="AM1" s="42" t="s">
        <v>18</v>
      </c>
      <c r="AN1" s="42" t="s">
        <v>19</v>
      </c>
      <c r="AO1" s="42" t="s">
        <v>20</v>
      </c>
      <c r="AP1" s="42" t="s">
        <v>21</v>
      </c>
    </row>
    <row r="2">
      <c r="B2" s="10"/>
      <c r="C2" s="43"/>
      <c r="D2" s="44" t="s">
        <v>22</v>
      </c>
      <c r="E2" s="45" t="s">
        <v>23</v>
      </c>
      <c r="F2" s="44" t="s">
        <v>24</v>
      </c>
      <c r="G2" s="46" t="s">
        <v>25</v>
      </c>
      <c r="H2" s="47" t="s">
        <v>26</v>
      </c>
      <c r="I2" s="47" t="s">
        <v>27</v>
      </c>
      <c r="J2" s="40"/>
      <c r="K2" s="43"/>
      <c r="L2" s="43"/>
      <c r="M2" s="48"/>
      <c r="N2" s="44" t="s">
        <v>22</v>
      </c>
      <c r="O2" s="44" t="s">
        <v>23</v>
      </c>
      <c r="P2" s="44" t="s">
        <v>24</v>
      </c>
      <c r="Q2" s="46" t="s">
        <v>25</v>
      </c>
      <c r="R2" s="47" t="s">
        <v>26</v>
      </c>
      <c r="S2" s="47" t="s">
        <v>27</v>
      </c>
      <c r="T2" s="41"/>
      <c r="U2" s="41"/>
      <c r="V2" s="41"/>
      <c r="W2" s="41"/>
      <c r="X2" s="41"/>
      <c r="Y2" s="41"/>
      <c r="Z2" s="41"/>
      <c r="AA2" s="41"/>
      <c r="AI2" s="49"/>
      <c r="AJ2" s="49"/>
      <c r="AK2" s="49"/>
      <c r="AL2" s="49"/>
      <c r="AM2" s="49"/>
      <c r="AN2" s="49"/>
      <c r="AO2" s="49"/>
      <c r="AP2" s="49"/>
    </row>
    <row r="3">
      <c r="B3" s="50"/>
      <c r="C3" s="44" t="s">
        <v>28</v>
      </c>
      <c r="D3" s="51">
        <f>V6</f>
        <v>1.5013</v>
      </c>
      <c r="E3" s="52">
        <f>V7</f>
        <v>9738.8</v>
      </c>
      <c r="F3" s="52">
        <f>V8</f>
        <v>20683.11</v>
      </c>
      <c r="G3" s="53">
        <v>3996.0</v>
      </c>
      <c r="H3" s="54">
        <v>1.39</v>
      </c>
      <c r="I3" s="55">
        <v>129205.0</v>
      </c>
      <c r="J3" s="40"/>
      <c r="M3" s="44" t="s">
        <v>28</v>
      </c>
      <c r="N3" s="56">
        <f>W6</f>
        <v>0.221</v>
      </c>
      <c r="O3" s="52">
        <f>W7</f>
        <v>1786</v>
      </c>
      <c r="P3" s="52">
        <f>W8</f>
        <v>2915</v>
      </c>
      <c r="Q3" s="53">
        <v>3996.0</v>
      </c>
      <c r="R3" s="54">
        <v>1.39</v>
      </c>
      <c r="S3" s="55">
        <v>129205.0</v>
      </c>
      <c r="T3" s="41"/>
      <c r="U3" s="41"/>
      <c r="X3" s="41"/>
      <c r="Y3" s="41"/>
      <c r="Z3" s="41"/>
      <c r="AA3" s="41"/>
      <c r="AI3" s="57" t="s">
        <v>22</v>
      </c>
      <c r="AJ3" s="57" t="s">
        <v>29</v>
      </c>
      <c r="AK3" s="58">
        <v>2.21</v>
      </c>
      <c r="AL3" s="58">
        <v>0.0202</v>
      </c>
      <c r="AM3" s="58">
        <v>0.0311</v>
      </c>
      <c r="AN3" s="58">
        <v>-0.76</v>
      </c>
      <c r="AO3" s="59">
        <f>SUM(AK3:AN3)</f>
        <v>1.5013</v>
      </c>
      <c r="AP3" s="60">
        <f>AO3*1000</f>
        <v>1501.3</v>
      </c>
    </row>
    <row r="4">
      <c r="A4" s="61" t="s">
        <v>30</v>
      </c>
      <c r="B4" s="61" t="s">
        <v>31</v>
      </c>
      <c r="C4" s="62">
        <v>2.0</v>
      </c>
      <c r="D4" s="62" t="s">
        <v>32</v>
      </c>
      <c r="E4" s="62" t="s">
        <v>33</v>
      </c>
      <c r="F4" s="63" t="s">
        <v>34</v>
      </c>
      <c r="G4" s="64" t="s">
        <v>35</v>
      </c>
      <c r="H4" s="63" t="s">
        <v>36</v>
      </c>
      <c r="I4" s="64" t="s">
        <v>37</v>
      </c>
      <c r="J4" s="40"/>
      <c r="K4" s="44" t="s">
        <v>38</v>
      </c>
      <c r="L4" s="44" t="s">
        <v>39</v>
      </c>
      <c r="M4" s="44" t="s">
        <v>40</v>
      </c>
      <c r="N4" s="62" t="s">
        <v>32</v>
      </c>
      <c r="O4" s="62" t="s">
        <v>33</v>
      </c>
      <c r="P4" s="62" t="s">
        <v>34</v>
      </c>
      <c r="Q4" s="64" t="s">
        <v>35</v>
      </c>
      <c r="R4" s="63" t="s">
        <v>36</v>
      </c>
      <c r="S4" s="64" t="s">
        <v>37</v>
      </c>
      <c r="T4" s="41"/>
      <c r="U4" s="41"/>
      <c r="V4" s="44" t="s">
        <v>3</v>
      </c>
      <c r="W4" s="44" t="s">
        <v>4</v>
      </c>
      <c r="X4" s="41"/>
      <c r="Y4" s="41"/>
      <c r="Z4" s="41"/>
      <c r="AA4" s="41"/>
    </row>
    <row r="5">
      <c r="A5" s="41"/>
      <c r="B5" s="41">
        <v>0.0</v>
      </c>
      <c r="C5" s="65"/>
      <c r="D5" s="65"/>
      <c r="E5" s="65"/>
      <c r="F5" s="65"/>
      <c r="G5" s="40"/>
      <c r="H5" s="40"/>
      <c r="I5" s="40"/>
      <c r="J5" s="40"/>
      <c r="K5" s="43"/>
      <c r="L5" s="43"/>
      <c r="M5" s="43"/>
      <c r="N5" s="65"/>
      <c r="O5" s="65"/>
      <c r="P5" s="65"/>
      <c r="Q5" s="40"/>
      <c r="R5" s="40"/>
      <c r="S5" s="40"/>
      <c r="T5" s="41"/>
      <c r="U5" s="41"/>
      <c r="V5" s="43"/>
      <c r="W5" s="43"/>
      <c r="X5" s="41"/>
      <c r="Y5" s="41"/>
      <c r="Z5" s="41"/>
      <c r="AA5" s="41"/>
      <c r="AI5" s="57" t="s">
        <v>23</v>
      </c>
      <c r="AJ5" s="57" t="s">
        <v>41</v>
      </c>
      <c r="AK5" s="66">
        <v>14.9</v>
      </c>
      <c r="AL5" s="66">
        <v>0.0</v>
      </c>
      <c r="AM5" s="66">
        <v>0.0488</v>
      </c>
      <c r="AN5" s="66">
        <v>-5.21</v>
      </c>
    </row>
    <row r="6">
      <c r="A6" s="41" t="s">
        <v>42</v>
      </c>
      <c r="B6" s="41">
        <v>300.0</v>
      </c>
      <c r="C6" s="41">
        <v>18.0</v>
      </c>
      <c r="D6" s="67">
        <f t="shared" ref="D6:D31" si="1">$C6/1000*$D$3</f>
        <v>0.0270234</v>
      </c>
      <c r="E6" s="68">
        <f t="shared" ref="E6:E31" si="2">$C6/1000*$E$3</f>
        <v>175.2984</v>
      </c>
      <c r="F6" s="68">
        <f t="shared" ref="F6:F31" si="3">$C6/1000*$F$3</f>
        <v>372.29598</v>
      </c>
      <c r="G6" s="68">
        <f t="shared" ref="G6:G31" si="4">$C6/1000*$G$3*D$3</f>
        <v>107.9855064</v>
      </c>
      <c r="H6" s="69">
        <f t="shared" ref="H6:H31" si="5">E6/H$3*2</f>
        <v>252.2279137</v>
      </c>
      <c r="I6" s="68">
        <f t="shared" ref="I6:I31" si="6">$C6/1000*$I$3*D$3</f>
        <v>3491.558397</v>
      </c>
      <c r="J6" s="40"/>
      <c r="K6" s="41">
        <v>2.44</v>
      </c>
      <c r="L6" s="70">
        <v>515.0</v>
      </c>
      <c r="M6" s="71">
        <f t="shared" ref="M6:M29" si="7">L6/K6</f>
        <v>211.0655738</v>
      </c>
      <c r="N6" s="67">
        <f t="shared" ref="N6:N29" si="8">$M6/1000*$N$3</f>
        <v>0.0466454918</v>
      </c>
      <c r="O6" s="72">
        <f t="shared" ref="O6:O29" si="9">$M6/1000*$O$3</f>
        <v>376.9631148</v>
      </c>
      <c r="P6" s="72">
        <f t="shared" ref="P6:P29" si="10">$M6/1000*$P$3</f>
        <v>615.2561475</v>
      </c>
      <c r="Q6" s="68">
        <f t="shared" ref="Q6:Q29" si="11">$M6/1000*$Q$3*N$3</f>
        <v>186.3953852</v>
      </c>
      <c r="R6" s="69">
        <f t="shared" ref="R6:R29" si="12">O6/R$3*2</f>
        <v>542.3929709</v>
      </c>
      <c r="S6" s="68">
        <f t="shared" ref="S6:S29" si="13">$M6/1000*$S$3*N$3</f>
        <v>6026.830768</v>
      </c>
      <c r="T6" s="41"/>
      <c r="U6" s="41" t="s">
        <v>43</v>
      </c>
      <c r="V6" s="40">
        <f>AO3</f>
        <v>1.5013</v>
      </c>
      <c r="W6" s="41">
        <f>AP25</f>
        <v>0.221</v>
      </c>
      <c r="X6" s="41"/>
      <c r="Y6" s="41"/>
      <c r="Z6" s="41"/>
      <c r="AA6" s="41"/>
      <c r="AK6" s="58"/>
      <c r="AL6" s="73"/>
      <c r="AM6" s="73"/>
      <c r="AN6" s="73"/>
    </row>
    <row r="7">
      <c r="A7" s="41"/>
      <c r="B7" s="41">
        <v>400.0</v>
      </c>
      <c r="C7" s="41">
        <v>24.0</v>
      </c>
      <c r="D7" s="67">
        <f t="shared" si="1"/>
        <v>0.0360312</v>
      </c>
      <c r="E7" s="68">
        <f t="shared" si="2"/>
        <v>233.7312</v>
      </c>
      <c r="F7" s="68">
        <f t="shared" si="3"/>
        <v>496.39464</v>
      </c>
      <c r="G7" s="68">
        <f t="shared" si="4"/>
        <v>143.9806752</v>
      </c>
      <c r="H7" s="69">
        <f t="shared" si="5"/>
        <v>336.3038849</v>
      </c>
      <c r="I7" s="68">
        <f t="shared" si="6"/>
        <v>4655.411196</v>
      </c>
      <c r="J7" s="40"/>
      <c r="K7" s="41">
        <v>2.44</v>
      </c>
      <c r="L7" s="70">
        <f>515+150</f>
        <v>665</v>
      </c>
      <c r="M7" s="71">
        <f t="shared" si="7"/>
        <v>272.5409836</v>
      </c>
      <c r="N7" s="67">
        <f t="shared" si="8"/>
        <v>0.06023155738</v>
      </c>
      <c r="O7" s="72">
        <f t="shared" si="9"/>
        <v>486.7581967</v>
      </c>
      <c r="P7" s="72">
        <f t="shared" si="10"/>
        <v>794.4569672</v>
      </c>
      <c r="Q7" s="68">
        <f t="shared" si="11"/>
        <v>240.6853033</v>
      </c>
      <c r="R7" s="69">
        <f t="shared" si="12"/>
        <v>700.3715061</v>
      </c>
      <c r="S7" s="68">
        <f t="shared" si="13"/>
        <v>7782.218371</v>
      </c>
      <c r="T7" s="41"/>
      <c r="U7" s="41" t="s">
        <v>44</v>
      </c>
      <c r="V7" s="70">
        <f>AO7</f>
        <v>9738.8</v>
      </c>
      <c r="W7" s="70">
        <f>AO29</f>
        <v>1786</v>
      </c>
      <c r="X7" s="41"/>
      <c r="Y7" s="41"/>
      <c r="Z7" s="41"/>
      <c r="AA7" s="41"/>
      <c r="AJ7" s="57" t="s">
        <v>45</v>
      </c>
      <c r="AK7" s="74">
        <f t="shared" ref="AK7:AN7" si="14">AK5*1000</f>
        <v>14900</v>
      </c>
      <c r="AL7" s="74">
        <f t="shared" si="14"/>
        <v>0</v>
      </c>
      <c r="AM7" s="74">
        <f t="shared" si="14"/>
        <v>48.8</v>
      </c>
      <c r="AN7" s="74">
        <f t="shared" si="14"/>
        <v>-5210</v>
      </c>
      <c r="AO7" s="75">
        <f>SUM(AK7:AN7)</f>
        <v>9738.8</v>
      </c>
      <c r="AP7" s="76"/>
    </row>
    <row r="8">
      <c r="A8" s="41" t="s">
        <v>46</v>
      </c>
      <c r="B8" s="41">
        <v>450.0</v>
      </c>
      <c r="C8" s="41">
        <v>26.8</v>
      </c>
      <c r="D8" s="67">
        <f t="shared" si="1"/>
        <v>0.04023484</v>
      </c>
      <c r="E8" s="68">
        <f t="shared" si="2"/>
        <v>260.99984</v>
      </c>
      <c r="F8" s="68">
        <f t="shared" si="3"/>
        <v>554.307348</v>
      </c>
      <c r="G8" s="68">
        <f t="shared" si="4"/>
        <v>160.7784206</v>
      </c>
      <c r="H8" s="69">
        <f t="shared" si="5"/>
        <v>375.5393381</v>
      </c>
      <c r="I8" s="68">
        <f t="shared" si="6"/>
        <v>5198.542502</v>
      </c>
      <c r="J8" s="40"/>
      <c r="K8" s="41">
        <v>2.44</v>
      </c>
      <c r="L8" s="70">
        <v>740.0</v>
      </c>
      <c r="M8" s="71">
        <f t="shared" si="7"/>
        <v>303.2786885</v>
      </c>
      <c r="N8" s="67">
        <f t="shared" si="8"/>
        <v>0.06702459016</v>
      </c>
      <c r="O8" s="72">
        <f t="shared" si="9"/>
        <v>541.6557377</v>
      </c>
      <c r="P8" s="72">
        <f t="shared" si="10"/>
        <v>884.057377</v>
      </c>
      <c r="Q8" s="68">
        <f t="shared" si="11"/>
        <v>267.8302623</v>
      </c>
      <c r="R8" s="69">
        <f t="shared" si="12"/>
        <v>779.3607737</v>
      </c>
      <c r="S8" s="68">
        <f t="shared" si="13"/>
        <v>8659.912172</v>
      </c>
      <c r="T8" s="41"/>
      <c r="U8" s="70" t="s">
        <v>47</v>
      </c>
      <c r="V8" s="70">
        <f>AO15</f>
        <v>20683.11</v>
      </c>
      <c r="W8" s="70">
        <f>AO31</f>
        <v>2915</v>
      </c>
      <c r="X8" s="41"/>
      <c r="Y8" s="41"/>
      <c r="Z8" s="41"/>
      <c r="AA8" s="41"/>
    </row>
    <row r="9">
      <c r="A9" s="41"/>
      <c r="B9" s="41">
        <v>525.0</v>
      </c>
      <c r="C9" s="41">
        <v>31.3</v>
      </c>
      <c r="D9" s="67">
        <f t="shared" si="1"/>
        <v>0.04699069</v>
      </c>
      <c r="E9" s="68">
        <f t="shared" si="2"/>
        <v>304.82444</v>
      </c>
      <c r="F9" s="68">
        <f t="shared" si="3"/>
        <v>647.381343</v>
      </c>
      <c r="G9" s="68">
        <f t="shared" si="4"/>
        <v>187.7747972</v>
      </c>
      <c r="H9" s="69">
        <f t="shared" si="5"/>
        <v>438.5963165</v>
      </c>
      <c r="I9" s="68">
        <f t="shared" si="6"/>
        <v>6071.432101</v>
      </c>
      <c r="J9" s="40"/>
      <c r="K9" s="41">
        <v>2.44</v>
      </c>
      <c r="L9" s="70">
        <v>1100.0</v>
      </c>
      <c r="M9" s="71">
        <f t="shared" si="7"/>
        <v>450.8196721</v>
      </c>
      <c r="N9" s="67">
        <f t="shared" si="8"/>
        <v>0.09963114754</v>
      </c>
      <c r="O9" s="72">
        <f t="shared" si="9"/>
        <v>805.1639344</v>
      </c>
      <c r="P9" s="72">
        <f t="shared" si="10"/>
        <v>1314.139344</v>
      </c>
      <c r="Q9" s="68">
        <f t="shared" si="11"/>
        <v>398.1260656</v>
      </c>
      <c r="R9" s="69">
        <f t="shared" si="12"/>
        <v>1158.509258</v>
      </c>
      <c r="S9" s="68">
        <f t="shared" si="13"/>
        <v>12872.84242</v>
      </c>
      <c r="T9" s="41"/>
      <c r="U9" s="70"/>
      <c r="V9" s="41"/>
      <c r="W9" s="77"/>
      <c r="X9" s="41"/>
      <c r="Y9" s="41"/>
      <c r="Z9" s="41"/>
      <c r="AA9" s="41"/>
      <c r="AI9" s="57" t="s">
        <v>48</v>
      </c>
      <c r="AJ9" s="57" t="s">
        <v>49</v>
      </c>
      <c r="AK9" s="78">
        <v>1080.0</v>
      </c>
      <c r="AL9" s="79">
        <v>7.11</v>
      </c>
      <c r="AM9" s="73">
        <v>332.0</v>
      </c>
      <c r="AN9" s="80">
        <v>-2.67</v>
      </c>
    </row>
    <row r="10">
      <c r="A10" s="41"/>
      <c r="B10" s="41">
        <v>600.0</v>
      </c>
      <c r="C10" s="41">
        <v>35.8</v>
      </c>
      <c r="D10" s="67">
        <f t="shared" si="1"/>
        <v>0.05374654</v>
      </c>
      <c r="E10" s="68">
        <f t="shared" si="2"/>
        <v>348.64904</v>
      </c>
      <c r="F10" s="68">
        <f t="shared" si="3"/>
        <v>740.455338</v>
      </c>
      <c r="G10" s="68">
        <f t="shared" si="4"/>
        <v>214.7711738</v>
      </c>
      <c r="H10" s="69">
        <f t="shared" si="5"/>
        <v>501.653295</v>
      </c>
      <c r="I10" s="68">
        <f t="shared" si="6"/>
        <v>6944.321701</v>
      </c>
      <c r="J10" s="40"/>
      <c r="K10" s="41">
        <v>2.44</v>
      </c>
      <c r="L10" s="70">
        <v>1335.0</v>
      </c>
      <c r="M10" s="71">
        <f t="shared" si="7"/>
        <v>547.1311475</v>
      </c>
      <c r="N10" s="67">
        <f t="shared" si="8"/>
        <v>0.1209159836</v>
      </c>
      <c r="O10" s="72">
        <f t="shared" si="9"/>
        <v>977.1762295</v>
      </c>
      <c r="P10" s="72">
        <f t="shared" si="10"/>
        <v>1594.887295</v>
      </c>
      <c r="Q10" s="68">
        <f t="shared" si="11"/>
        <v>483.1802705</v>
      </c>
      <c r="R10" s="69">
        <f t="shared" si="12"/>
        <v>1406.008963</v>
      </c>
      <c r="S10" s="68">
        <f t="shared" si="13"/>
        <v>15622.94966</v>
      </c>
      <c r="T10" s="41"/>
      <c r="U10" s="70"/>
      <c r="V10" s="41"/>
      <c r="W10" s="71"/>
      <c r="X10" s="41"/>
      <c r="Y10" s="41"/>
      <c r="Z10" s="41"/>
      <c r="AA10" s="41"/>
      <c r="AI10" s="57" t="s">
        <v>50</v>
      </c>
      <c r="AK10" s="58"/>
      <c r="AL10" s="73"/>
      <c r="AM10" s="73"/>
      <c r="AN10" s="73">
        <f>10*10*10*10*10*10*10*10*10</f>
        <v>1000000000</v>
      </c>
    </row>
    <row r="11">
      <c r="A11" s="41"/>
      <c r="B11" s="41">
        <v>750.0</v>
      </c>
      <c r="C11" s="41">
        <v>44.7</v>
      </c>
      <c r="D11" s="67">
        <f t="shared" si="1"/>
        <v>0.06710811</v>
      </c>
      <c r="E11" s="68">
        <f t="shared" si="2"/>
        <v>435.32436</v>
      </c>
      <c r="F11" s="68">
        <f t="shared" si="3"/>
        <v>924.535017</v>
      </c>
      <c r="G11" s="68">
        <f t="shared" si="4"/>
        <v>268.1640076</v>
      </c>
      <c r="H11" s="69">
        <f t="shared" si="5"/>
        <v>626.3659856</v>
      </c>
      <c r="I11" s="68">
        <f t="shared" si="6"/>
        <v>8670.703353</v>
      </c>
      <c r="J11" s="40"/>
      <c r="K11" s="41">
        <v>2.44</v>
      </c>
      <c r="L11" s="70">
        <v>1900.0</v>
      </c>
      <c r="M11" s="71">
        <f t="shared" si="7"/>
        <v>778.6885246</v>
      </c>
      <c r="N11" s="67">
        <f t="shared" si="8"/>
        <v>0.1720901639</v>
      </c>
      <c r="O11" s="72">
        <f t="shared" si="9"/>
        <v>1390.737705</v>
      </c>
      <c r="P11" s="72">
        <f t="shared" si="10"/>
        <v>2269.877049</v>
      </c>
      <c r="Q11" s="68">
        <f t="shared" si="11"/>
        <v>687.6722951</v>
      </c>
      <c r="R11" s="69">
        <f t="shared" si="12"/>
        <v>2001.061446</v>
      </c>
      <c r="S11" s="68">
        <f t="shared" si="13"/>
        <v>22234.90963</v>
      </c>
      <c r="T11" s="41"/>
      <c r="U11" s="70"/>
      <c r="V11" s="70"/>
      <c r="W11" s="70"/>
      <c r="X11" s="41"/>
      <c r="Y11" s="41"/>
      <c r="Z11" s="41"/>
      <c r="AA11" s="41"/>
      <c r="AJ11" s="57" t="s">
        <v>51</v>
      </c>
      <c r="AK11" s="74">
        <f t="shared" ref="AK11:AM11" si="15">AK9</f>
        <v>1080</v>
      </c>
      <c r="AL11" s="81">
        <f t="shared" si="15"/>
        <v>7.11</v>
      </c>
      <c r="AM11" s="82">
        <f t="shared" si="15"/>
        <v>332</v>
      </c>
      <c r="AN11" s="83">
        <f>AN9/AN10</f>
        <v>-0.00000000267</v>
      </c>
      <c r="AO11" s="74">
        <f>SUM(AK11:AN11)</f>
        <v>1419.11</v>
      </c>
      <c r="AP11" s="84"/>
    </row>
    <row r="12">
      <c r="A12" s="41"/>
      <c r="B12" s="41">
        <v>800.0</v>
      </c>
      <c r="C12" s="71">
        <f>44.7+2.97</f>
        <v>47.67</v>
      </c>
      <c r="D12" s="67">
        <f t="shared" si="1"/>
        <v>0.071566971</v>
      </c>
      <c r="E12" s="68">
        <f t="shared" si="2"/>
        <v>464.248596</v>
      </c>
      <c r="F12" s="68">
        <f t="shared" si="3"/>
        <v>985.9638537</v>
      </c>
      <c r="G12" s="68">
        <f t="shared" si="4"/>
        <v>285.9816161</v>
      </c>
      <c r="H12" s="69">
        <f t="shared" si="5"/>
        <v>667.9835914</v>
      </c>
      <c r="I12" s="68">
        <f t="shared" si="6"/>
        <v>9246.810488</v>
      </c>
      <c r="J12" s="40"/>
      <c r="K12" s="41">
        <v>2.44</v>
      </c>
      <c r="L12" s="70">
        <f>1900+193</f>
        <v>2093</v>
      </c>
      <c r="M12" s="71">
        <f t="shared" si="7"/>
        <v>857.7868852</v>
      </c>
      <c r="N12" s="67">
        <f t="shared" si="8"/>
        <v>0.1895709016</v>
      </c>
      <c r="O12" s="72">
        <f t="shared" si="9"/>
        <v>1532.007377</v>
      </c>
      <c r="P12" s="72">
        <f t="shared" si="10"/>
        <v>2500.44877</v>
      </c>
      <c r="Q12" s="68">
        <f t="shared" si="11"/>
        <v>757.525323</v>
      </c>
      <c r="R12" s="69">
        <f t="shared" si="12"/>
        <v>2204.327161</v>
      </c>
      <c r="S12" s="68">
        <f t="shared" si="13"/>
        <v>24493.50835</v>
      </c>
      <c r="T12" s="41"/>
      <c r="U12" s="41"/>
      <c r="V12" s="41"/>
      <c r="W12" s="41"/>
      <c r="X12" s="41"/>
      <c r="Y12" s="41"/>
      <c r="Z12" s="41"/>
      <c r="AA12" s="41"/>
    </row>
    <row r="13">
      <c r="A13" s="41"/>
      <c r="B13" s="41">
        <v>900.0</v>
      </c>
      <c r="C13" s="41">
        <v>53.6</v>
      </c>
      <c r="D13" s="67">
        <f t="shared" si="1"/>
        <v>0.08046968</v>
      </c>
      <c r="E13" s="68">
        <f t="shared" si="2"/>
        <v>521.99968</v>
      </c>
      <c r="F13" s="68">
        <f t="shared" si="3"/>
        <v>1108.614696</v>
      </c>
      <c r="G13" s="68">
        <f t="shared" si="4"/>
        <v>321.5568413</v>
      </c>
      <c r="H13" s="69">
        <f t="shared" si="5"/>
        <v>751.0786763</v>
      </c>
      <c r="I13" s="68">
        <f t="shared" si="6"/>
        <v>10397.085</v>
      </c>
      <c r="J13" s="40"/>
      <c r="K13" s="41">
        <v>2.44</v>
      </c>
      <c r="L13" s="70">
        <v>2480.0</v>
      </c>
      <c r="M13" s="71">
        <f t="shared" si="7"/>
        <v>1016.393443</v>
      </c>
      <c r="N13" s="67">
        <f t="shared" si="8"/>
        <v>0.2246229508</v>
      </c>
      <c r="O13" s="72">
        <f t="shared" si="9"/>
        <v>1815.278689</v>
      </c>
      <c r="P13" s="72">
        <f t="shared" si="10"/>
        <v>2962.786885</v>
      </c>
      <c r="Q13" s="68">
        <f t="shared" si="11"/>
        <v>897.5933115</v>
      </c>
      <c r="R13" s="69">
        <f t="shared" si="12"/>
        <v>2611.911782</v>
      </c>
      <c r="S13" s="68">
        <f t="shared" si="13"/>
        <v>29022.40836</v>
      </c>
      <c r="T13" s="70"/>
      <c r="U13" s="41"/>
      <c r="V13" s="41"/>
      <c r="W13" s="41"/>
      <c r="X13" s="41"/>
      <c r="Y13" s="41"/>
      <c r="Z13" s="41"/>
      <c r="AA13" s="41"/>
      <c r="AJ13" s="57" t="s">
        <v>52</v>
      </c>
      <c r="AK13" s="78">
        <v>27300.0</v>
      </c>
      <c r="AL13" s="78">
        <v>286.0</v>
      </c>
      <c r="AM13" s="73">
        <v>828.0</v>
      </c>
      <c r="AN13" s="78">
        <v>-9150.0</v>
      </c>
      <c r="AO13" s="74">
        <f>SUM(AK13:AN13)</f>
        <v>19264</v>
      </c>
    </row>
    <row r="14">
      <c r="A14" s="41"/>
      <c r="B14" s="41">
        <v>1000.0</v>
      </c>
      <c r="C14" s="41">
        <v>59.6</v>
      </c>
      <c r="D14" s="67">
        <f t="shared" si="1"/>
        <v>0.08947748</v>
      </c>
      <c r="E14" s="68">
        <f t="shared" si="2"/>
        <v>580.43248</v>
      </c>
      <c r="F14" s="68">
        <f t="shared" si="3"/>
        <v>1232.713356</v>
      </c>
      <c r="G14" s="68">
        <f t="shared" si="4"/>
        <v>357.5520101</v>
      </c>
      <c r="H14" s="69">
        <f t="shared" si="5"/>
        <v>835.1546475</v>
      </c>
      <c r="I14" s="68">
        <f t="shared" si="6"/>
        <v>11560.9378</v>
      </c>
      <c r="J14" s="40"/>
      <c r="K14" s="41">
        <v>2.44</v>
      </c>
      <c r="L14" s="70">
        <f>2480+331</f>
        <v>2811</v>
      </c>
      <c r="M14" s="71">
        <f t="shared" si="7"/>
        <v>1152.04918</v>
      </c>
      <c r="N14" s="67">
        <f t="shared" si="8"/>
        <v>0.2546028689</v>
      </c>
      <c r="O14" s="72">
        <f t="shared" si="9"/>
        <v>2057.559836</v>
      </c>
      <c r="P14" s="72">
        <f t="shared" si="10"/>
        <v>3358.223361</v>
      </c>
      <c r="Q14" s="68">
        <f t="shared" si="11"/>
        <v>1017.393064</v>
      </c>
      <c r="R14" s="69">
        <f t="shared" si="12"/>
        <v>2960.51775</v>
      </c>
      <c r="S14" s="68">
        <f t="shared" si="13"/>
        <v>32895.96367</v>
      </c>
      <c r="T14" s="41"/>
      <c r="U14" s="41"/>
      <c r="V14" s="41"/>
      <c r="W14" s="41"/>
      <c r="X14" s="41"/>
      <c r="Y14" s="41"/>
      <c r="Z14" s="41"/>
      <c r="AA14" s="41"/>
      <c r="AK14" s="73"/>
      <c r="AL14" s="73"/>
      <c r="AM14" s="73"/>
      <c r="AN14" s="73"/>
    </row>
    <row r="15">
      <c r="A15" s="41"/>
      <c r="B15" s="41">
        <v>1050.0</v>
      </c>
      <c r="C15" s="41">
        <v>62.6</v>
      </c>
      <c r="D15" s="67">
        <f t="shared" si="1"/>
        <v>0.09398138</v>
      </c>
      <c r="E15" s="68">
        <f t="shared" si="2"/>
        <v>609.64888</v>
      </c>
      <c r="F15" s="68">
        <f t="shared" si="3"/>
        <v>1294.762686</v>
      </c>
      <c r="G15" s="68">
        <f t="shared" si="4"/>
        <v>375.5495945</v>
      </c>
      <c r="H15" s="69">
        <f t="shared" si="5"/>
        <v>877.1926331</v>
      </c>
      <c r="I15" s="68">
        <f t="shared" si="6"/>
        <v>12142.8642</v>
      </c>
      <c r="J15" s="40"/>
      <c r="K15" s="41">
        <v>2.44</v>
      </c>
      <c r="L15" s="70">
        <v>2977.0</v>
      </c>
      <c r="M15" s="71">
        <f t="shared" si="7"/>
        <v>1220.081967</v>
      </c>
      <c r="N15" s="67">
        <f t="shared" si="8"/>
        <v>0.2696381148</v>
      </c>
      <c r="O15" s="72">
        <f t="shared" si="9"/>
        <v>2179.066393</v>
      </c>
      <c r="P15" s="72">
        <f t="shared" si="10"/>
        <v>3556.538934</v>
      </c>
      <c r="Q15" s="68">
        <f t="shared" si="11"/>
        <v>1077.473907</v>
      </c>
      <c r="R15" s="69">
        <f t="shared" si="12"/>
        <v>3135.347329</v>
      </c>
      <c r="S15" s="68">
        <f t="shared" si="13"/>
        <v>34838.59262</v>
      </c>
      <c r="T15" s="70"/>
      <c r="U15" s="41"/>
      <c r="V15" s="41"/>
      <c r="W15" s="41"/>
      <c r="X15" s="41"/>
      <c r="Y15" s="41"/>
      <c r="Z15" s="41"/>
      <c r="AA15" s="41"/>
      <c r="AJ15" s="57" t="s">
        <v>53</v>
      </c>
      <c r="AK15" s="74">
        <f t="shared" ref="AK15:AN15" si="16">AK13+AK11</f>
        <v>28380</v>
      </c>
      <c r="AL15" s="74">
        <f t="shared" si="16"/>
        <v>293.11</v>
      </c>
      <c r="AM15" s="74">
        <f t="shared" si="16"/>
        <v>1160</v>
      </c>
      <c r="AN15" s="74">
        <f t="shared" si="16"/>
        <v>-9150</v>
      </c>
      <c r="AO15" s="74">
        <f>SUM(AK15:AN15)</f>
        <v>20683.11</v>
      </c>
    </row>
    <row r="16">
      <c r="A16" s="41"/>
      <c r="B16" s="41">
        <v>1200.0</v>
      </c>
      <c r="C16" s="41">
        <v>71.5</v>
      </c>
      <c r="D16" s="67">
        <f t="shared" si="1"/>
        <v>0.10734295</v>
      </c>
      <c r="E16" s="68">
        <f t="shared" si="2"/>
        <v>696.3242</v>
      </c>
      <c r="F16" s="68">
        <f t="shared" si="3"/>
        <v>1478.842365</v>
      </c>
      <c r="G16" s="68">
        <f t="shared" si="4"/>
        <v>428.9424282</v>
      </c>
      <c r="H16" s="69">
        <f t="shared" si="5"/>
        <v>1001.905324</v>
      </c>
      <c r="I16" s="68">
        <f t="shared" si="6"/>
        <v>13869.24585</v>
      </c>
      <c r="J16" s="40"/>
      <c r="K16" s="41">
        <v>2.44</v>
      </c>
      <c r="L16" s="70">
        <v>3100.0</v>
      </c>
      <c r="M16" s="71">
        <f t="shared" si="7"/>
        <v>1270.491803</v>
      </c>
      <c r="N16" s="67">
        <f t="shared" si="8"/>
        <v>0.2807786885</v>
      </c>
      <c r="O16" s="72">
        <f t="shared" si="9"/>
        <v>2269.098361</v>
      </c>
      <c r="P16" s="72">
        <f t="shared" si="10"/>
        <v>3703.483607</v>
      </c>
      <c r="Q16" s="68">
        <f t="shared" si="11"/>
        <v>1121.991639</v>
      </c>
      <c r="R16" s="69">
        <f t="shared" si="12"/>
        <v>3264.889728</v>
      </c>
      <c r="S16" s="68">
        <f t="shared" si="13"/>
        <v>36278.01045</v>
      </c>
      <c r="T16" s="41"/>
      <c r="U16" s="41"/>
      <c r="V16" s="41"/>
      <c r="W16" s="41"/>
      <c r="X16" s="41"/>
      <c r="Y16" s="41"/>
      <c r="Z16" s="41"/>
      <c r="AA16" s="41"/>
    </row>
    <row r="17">
      <c r="A17" s="41"/>
      <c r="B17" s="41">
        <v>1350.0</v>
      </c>
      <c r="C17" s="41">
        <v>80.5</v>
      </c>
      <c r="D17" s="67">
        <f t="shared" si="1"/>
        <v>0.12085465</v>
      </c>
      <c r="E17" s="68">
        <f t="shared" si="2"/>
        <v>783.9734</v>
      </c>
      <c r="F17" s="68">
        <f t="shared" si="3"/>
        <v>1664.990355</v>
      </c>
      <c r="G17" s="68">
        <f t="shared" si="4"/>
        <v>482.9351814</v>
      </c>
      <c r="H17" s="69">
        <f t="shared" si="5"/>
        <v>1128.019281</v>
      </c>
      <c r="I17" s="68">
        <f t="shared" si="6"/>
        <v>15615.02505</v>
      </c>
      <c r="J17" s="40"/>
      <c r="K17" s="41">
        <v>2.44</v>
      </c>
      <c r="L17" s="70">
        <v>4410.0</v>
      </c>
      <c r="M17" s="71">
        <f t="shared" si="7"/>
        <v>1807.377049</v>
      </c>
      <c r="N17" s="67">
        <f t="shared" si="8"/>
        <v>0.3994303279</v>
      </c>
      <c r="O17" s="72">
        <f t="shared" si="9"/>
        <v>3227.97541</v>
      </c>
      <c r="P17" s="72">
        <f t="shared" si="10"/>
        <v>5268.504098</v>
      </c>
      <c r="Q17" s="68">
        <f t="shared" si="11"/>
        <v>1596.12359</v>
      </c>
      <c r="R17" s="69">
        <f t="shared" si="12"/>
        <v>4644.568935</v>
      </c>
      <c r="S17" s="68">
        <f t="shared" si="13"/>
        <v>51608.39551</v>
      </c>
      <c r="T17" s="41"/>
      <c r="U17" s="41"/>
      <c r="V17" s="41"/>
      <c r="W17" s="41"/>
      <c r="X17" s="41"/>
      <c r="Y17" s="41"/>
      <c r="Z17" s="41"/>
      <c r="AA17" s="41"/>
      <c r="AK17" s="58"/>
      <c r="AL17" s="80"/>
      <c r="AM17" s="80"/>
      <c r="AN17" s="58"/>
    </row>
    <row r="18">
      <c r="A18" s="41"/>
      <c r="B18" s="41">
        <v>1400.0</v>
      </c>
      <c r="C18" s="71">
        <f>80.5+2.97</f>
        <v>83.47</v>
      </c>
      <c r="D18" s="67">
        <f t="shared" si="1"/>
        <v>0.125313511</v>
      </c>
      <c r="E18" s="68">
        <f t="shared" si="2"/>
        <v>812.897636</v>
      </c>
      <c r="F18" s="68">
        <f t="shared" si="3"/>
        <v>1726.419192</v>
      </c>
      <c r="G18" s="68">
        <f t="shared" si="4"/>
        <v>500.75279</v>
      </c>
      <c r="H18" s="69">
        <f t="shared" si="5"/>
        <v>1169.636886</v>
      </c>
      <c r="I18" s="68">
        <f t="shared" si="6"/>
        <v>16191.13219</v>
      </c>
      <c r="J18" s="40"/>
      <c r="K18" s="41">
        <v>2.44</v>
      </c>
      <c r="L18" s="70">
        <f>4410+102</f>
        <v>4512</v>
      </c>
      <c r="M18" s="71">
        <f t="shared" si="7"/>
        <v>1849.180328</v>
      </c>
      <c r="N18" s="67">
        <f t="shared" si="8"/>
        <v>0.4086688525</v>
      </c>
      <c r="O18" s="72">
        <f t="shared" si="9"/>
        <v>3302.636066</v>
      </c>
      <c r="P18" s="72">
        <f t="shared" si="10"/>
        <v>5390.360656</v>
      </c>
      <c r="Q18" s="68">
        <f t="shared" si="11"/>
        <v>1633.040734</v>
      </c>
      <c r="R18" s="69">
        <f t="shared" si="12"/>
        <v>4751.994339</v>
      </c>
      <c r="S18" s="68">
        <f t="shared" si="13"/>
        <v>52802.05908</v>
      </c>
      <c r="T18" s="41"/>
      <c r="U18" s="41"/>
      <c r="V18" s="41"/>
      <c r="W18" s="41"/>
      <c r="X18" s="41"/>
      <c r="Y18" s="41"/>
      <c r="Z18" s="41"/>
      <c r="AA18" s="41"/>
      <c r="AK18" s="58"/>
      <c r="AL18" s="73"/>
      <c r="AM18" s="73"/>
      <c r="AN18" s="58"/>
    </row>
    <row r="19">
      <c r="A19" s="41"/>
      <c r="B19" s="41">
        <v>1500.0</v>
      </c>
      <c r="C19" s="41">
        <v>89.4</v>
      </c>
      <c r="D19" s="67">
        <f t="shared" si="1"/>
        <v>0.13421622</v>
      </c>
      <c r="E19" s="68">
        <f t="shared" si="2"/>
        <v>870.64872</v>
      </c>
      <c r="F19" s="68">
        <f t="shared" si="3"/>
        <v>1849.070034</v>
      </c>
      <c r="G19" s="68">
        <f t="shared" si="4"/>
        <v>536.3280151</v>
      </c>
      <c r="H19" s="69">
        <f t="shared" si="5"/>
        <v>1252.731971</v>
      </c>
      <c r="I19" s="68">
        <f t="shared" si="6"/>
        <v>17341.40671</v>
      </c>
      <c r="J19" s="40"/>
      <c r="K19" s="41">
        <v>2.44</v>
      </c>
      <c r="L19" s="70">
        <v>4716.0</v>
      </c>
      <c r="M19" s="71">
        <f t="shared" si="7"/>
        <v>1932.786885</v>
      </c>
      <c r="N19" s="67">
        <f t="shared" si="8"/>
        <v>0.4271459016</v>
      </c>
      <c r="O19" s="72">
        <f t="shared" si="9"/>
        <v>3451.957377</v>
      </c>
      <c r="P19" s="72">
        <f t="shared" si="10"/>
        <v>5634.07377</v>
      </c>
      <c r="Q19" s="68">
        <f t="shared" si="11"/>
        <v>1706.875023</v>
      </c>
      <c r="R19" s="69">
        <f t="shared" si="12"/>
        <v>4966.845147</v>
      </c>
      <c r="S19" s="68">
        <f t="shared" si="13"/>
        <v>55189.38622</v>
      </c>
      <c r="T19" s="70"/>
      <c r="U19" s="41"/>
      <c r="V19" s="41"/>
      <c r="W19" s="41"/>
      <c r="X19" s="41"/>
      <c r="Y19" s="41"/>
      <c r="Z19" s="41"/>
      <c r="AA19" s="41"/>
      <c r="AK19" s="85"/>
      <c r="AL19" s="85"/>
      <c r="AM19" s="85"/>
      <c r="AN19" s="85"/>
      <c r="AO19" s="85"/>
    </row>
    <row r="20">
      <c r="A20" s="41"/>
      <c r="B20" s="41">
        <v>1600.0</v>
      </c>
      <c r="C20" s="41">
        <v>95.3</v>
      </c>
      <c r="D20" s="67">
        <f t="shared" si="1"/>
        <v>0.14307389</v>
      </c>
      <c r="E20" s="68">
        <f t="shared" si="2"/>
        <v>928.10764</v>
      </c>
      <c r="F20" s="68">
        <f t="shared" si="3"/>
        <v>1971.100383</v>
      </c>
      <c r="G20" s="68">
        <f t="shared" si="4"/>
        <v>571.7232644</v>
      </c>
      <c r="H20" s="69">
        <f t="shared" si="5"/>
        <v>1335.406676</v>
      </c>
      <c r="I20" s="68">
        <f t="shared" si="6"/>
        <v>18485.86196</v>
      </c>
      <c r="J20" s="40"/>
      <c r="K20" s="41">
        <v>2.44</v>
      </c>
      <c r="L20" s="70">
        <f>4716+1070</f>
        <v>5786</v>
      </c>
      <c r="M20" s="71">
        <f t="shared" si="7"/>
        <v>2371.311475</v>
      </c>
      <c r="N20" s="67">
        <f t="shared" si="8"/>
        <v>0.5240598361</v>
      </c>
      <c r="O20" s="72">
        <f t="shared" si="9"/>
        <v>4235.162295</v>
      </c>
      <c r="P20" s="72">
        <f t="shared" si="10"/>
        <v>6912.372951</v>
      </c>
      <c r="Q20" s="68">
        <f t="shared" si="11"/>
        <v>2094.143105</v>
      </c>
      <c r="R20" s="69">
        <f t="shared" si="12"/>
        <v>6093.758698</v>
      </c>
      <c r="S20" s="68">
        <f t="shared" si="13"/>
        <v>67711.15112</v>
      </c>
      <c r="T20" s="41"/>
      <c r="U20" s="41"/>
      <c r="V20" s="41"/>
      <c r="W20" s="41"/>
      <c r="X20" s="41"/>
      <c r="Y20" s="41"/>
      <c r="Z20" s="41"/>
      <c r="AA20" s="41"/>
    </row>
    <row r="21" ht="15.75" customHeight="1">
      <c r="A21" s="41"/>
      <c r="B21" s="41">
        <v>1650.0</v>
      </c>
      <c r="C21" s="41">
        <v>98.3</v>
      </c>
      <c r="D21" s="67">
        <f t="shared" si="1"/>
        <v>0.14757779</v>
      </c>
      <c r="E21" s="68">
        <f t="shared" si="2"/>
        <v>957.32404</v>
      </c>
      <c r="F21" s="68">
        <f t="shared" si="3"/>
        <v>2033.149713</v>
      </c>
      <c r="G21" s="68">
        <f t="shared" si="4"/>
        <v>589.7208488</v>
      </c>
      <c r="H21" s="69">
        <f t="shared" si="5"/>
        <v>1377.444662</v>
      </c>
      <c r="I21" s="68">
        <f t="shared" si="6"/>
        <v>19067.78836</v>
      </c>
      <c r="J21" s="40"/>
      <c r="K21" s="41">
        <v>2.44</v>
      </c>
      <c r="L21" s="70">
        <v>6321.0</v>
      </c>
      <c r="M21" s="71">
        <f t="shared" si="7"/>
        <v>2590.57377</v>
      </c>
      <c r="N21" s="67">
        <f t="shared" si="8"/>
        <v>0.5725168033</v>
      </c>
      <c r="O21" s="72">
        <f t="shared" si="9"/>
        <v>4626.764754</v>
      </c>
      <c r="P21" s="72">
        <f t="shared" si="10"/>
        <v>7551.522541</v>
      </c>
      <c r="Q21" s="68">
        <f t="shared" si="11"/>
        <v>2287.777146</v>
      </c>
      <c r="R21" s="69">
        <f t="shared" si="12"/>
        <v>6657.215474</v>
      </c>
      <c r="S21" s="68">
        <f t="shared" si="13"/>
        <v>73972.03357</v>
      </c>
      <c r="T21" s="70"/>
      <c r="U21" s="41"/>
      <c r="V21" s="41"/>
      <c r="W21" s="41"/>
      <c r="X21" s="41"/>
      <c r="Y21" s="41"/>
      <c r="Z21" s="41"/>
      <c r="AA21" s="41"/>
      <c r="AK21" s="78"/>
      <c r="AL21" s="78"/>
      <c r="AM21" s="78"/>
      <c r="AN21" s="78"/>
      <c r="AO21" s="22"/>
    </row>
    <row r="22" ht="15.75" customHeight="1">
      <c r="A22" s="41"/>
      <c r="B22" s="41">
        <v>1800.0</v>
      </c>
      <c r="C22" s="41">
        <v>107.3</v>
      </c>
      <c r="D22" s="67">
        <f t="shared" si="1"/>
        <v>0.16108949</v>
      </c>
      <c r="E22" s="68">
        <f t="shared" si="2"/>
        <v>1044.97324</v>
      </c>
      <c r="F22" s="68">
        <f t="shared" si="3"/>
        <v>2219.297703</v>
      </c>
      <c r="G22" s="68">
        <f t="shared" si="4"/>
        <v>643.713602</v>
      </c>
      <c r="H22" s="69">
        <f t="shared" si="5"/>
        <v>1503.558619</v>
      </c>
      <c r="I22" s="68">
        <f t="shared" si="6"/>
        <v>20813.56756</v>
      </c>
      <c r="J22" s="40"/>
      <c r="K22" s="41">
        <v>2.44</v>
      </c>
      <c r="L22" s="70">
        <v>6564.0</v>
      </c>
      <c r="M22" s="71">
        <f t="shared" si="7"/>
        <v>2690.163934</v>
      </c>
      <c r="N22" s="67">
        <f t="shared" si="8"/>
        <v>0.5945262295</v>
      </c>
      <c r="O22" s="72">
        <f t="shared" si="9"/>
        <v>4804.632787</v>
      </c>
      <c r="P22" s="72">
        <f t="shared" si="10"/>
        <v>7841.827869</v>
      </c>
      <c r="Q22" s="68">
        <f t="shared" si="11"/>
        <v>2375.726813</v>
      </c>
      <c r="R22" s="69">
        <f t="shared" si="12"/>
        <v>6913.140701</v>
      </c>
      <c r="S22" s="68">
        <f t="shared" si="13"/>
        <v>76815.76148</v>
      </c>
      <c r="T22" s="41"/>
      <c r="U22" s="41"/>
      <c r="V22" s="41"/>
      <c r="W22" s="41"/>
      <c r="X22" s="41"/>
      <c r="Y22" s="41"/>
      <c r="Z22" s="41"/>
      <c r="AA22" s="41"/>
    </row>
    <row r="23" ht="15.75" customHeight="1">
      <c r="A23" s="41"/>
      <c r="B23" s="41">
        <v>2000.0</v>
      </c>
      <c r="C23" s="41">
        <v>119.2</v>
      </c>
      <c r="D23" s="67">
        <f t="shared" si="1"/>
        <v>0.17895496</v>
      </c>
      <c r="E23" s="68">
        <f t="shared" si="2"/>
        <v>1160.86496</v>
      </c>
      <c r="F23" s="68">
        <f t="shared" si="3"/>
        <v>2465.426712</v>
      </c>
      <c r="G23" s="68">
        <f t="shared" si="4"/>
        <v>715.1040202</v>
      </c>
      <c r="H23" s="69">
        <f t="shared" si="5"/>
        <v>1670.309295</v>
      </c>
      <c r="I23" s="68">
        <f t="shared" si="6"/>
        <v>23121.87561</v>
      </c>
      <c r="J23" s="40"/>
      <c r="K23" s="41">
        <v>2.44</v>
      </c>
      <c r="L23" s="70">
        <f>6564+1464</f>
        <v>8028</v>
      </c>
      <c r="M23" s="71">
        <f t="shared" si="7"/>
        <v>3290.163934</v>
      </c>
      <c r="N23" s="67">
        <f t="shared" si="8"/>
        <v>0.7271262295</v>
      </c>
      <c r="O23" s="72">
        <f t="shared" si="9"/>
        <v>5876.232787</v>
      </c>
      <c r="P23" s="72">
        <f t="shared" si="10"/>
        <v>9590.827869</v>
      </c>
      <c r="Q23" s="68">
        <f t="shared" si="11"/>
        <v>2905.596413</v>
      </c>
      <c r="R23" s="69">
        <f t="shared" si="12"/>
        <v>8455.011204</v>
      </c>
      <c r="S23" s="68">
        <f t="shared" si="13"/>
        <v>93948.34448</v>
      </c>
      <c r="T23" s="41"/>
      <c r="U23" s="41"/>
      <c r="V23" s="41"/>
      <c r="W23" s="41"/>
      <c r="X23" s="41"/>
      <c r="Y23" s="41"/>
      <c r="Z23" s="41"/>
      <c r="AA23" s="41"/>
    </row>
    <row r="24" ht="15.75" customHeight="1">
      <c r="A24" s="41"/>
      <c r="B24" s="41">
        <v>2100.0</v>
      </c>
      <c r="C24" s="41">
        <v>125.2</v>
      </c>
      <c r="D24" s="67">
        <f t="shared" si="1"/>
        <v>0.18796276</v>
      </c>
      <c r="E24" s="68">
        <f t="shared" si="2"/>
        <v>1219.29776</v>
      </c>
      <c r="F24" s="68">
        <f t="shared" si="3"/>
        <v>2589.525372</v>
      </c>
      <c r="G24" s="68">
        <f t="shared" si="4"/>
        <v>751.099189</v>
      </c>
      <c r="H24" s="69">
        <f t="shared" si="5"/>
        <v>1754.385266</v>
      </c>
      <c r="I24" s="68">
        <f t="shared" si="6"/>
        <v>24285.72841</v>
      </c>
      <c r="J24" s="40"/>
      <c r="K24" s="41">
        <v>2.44</v>
      </c>
      <c r="L24" s="70">
        <v>8760.0</v>
      </c>
      <c r="M24" s="71">
        <f t="shared" si="7"/>
        <v>3590.163934</v>
      </c>
      <c r="N24" s="67">
        <f t="shared" si="8"/>
        <v>0.7934262295</v>
      </c>
      <c r="O24" s="72">
        <f t="shared" si="9"/>
        <v>6412.032787</v>
      </c>
      <c r="P24" s="72">
        <f t="shared" si="10"/>
        <v>10465.32787</v>
      </c>
      <c r="Q24" s="68">
        <f t="shared" si="11"/>
        <v>3170.531213</v>
      </c>
      <c r="R24" s="69">
        <f t="shared" si="12"/>
        <v>9225.946456</v>
      </c>
      <c r="S24" s="68">
        <f t="shared" si="13"/>
        <v>102514.636</v>
      </c>
      <c r="T24" s="70"/>
      <c r="U24" s="41"/>
      <c r="V24" s="41"/>
      <c r="W24" s="41"/>
      <c r="X24" s="41"/>
      <c r="Y24" s="41"/>
      <c r="Z24" s="41"/>
      <c r="AA24" s="41"/>
      <c r="AI24" s="42" t="s">
        <v>14</v>
      </c>
      <c r="AJ24" s="42" t="s">
        <v>15</v>
      </c>
      <c r="AK24" s="42" t="s">
        <v>16</v>
      </c>
      <c r="AL24" s="42" t="s">
        <v>17</v>
      </c>
      <c r="AM24" s="42" t="s">
        <v>18</v>
      </c>
      <c r="AN24" s="42" t="s">
        <v>19</v>
      </c>
      <c r="AO24" s="42" t="s">
        <v>21</v>
      </c>
      <c r="AP24" s="42" t="s">
        <v>20</v>
      </c>
    </row>
    <row r="25" ht="15.75" customHeight="1">
      <c r="A25" s="41">
        <v>2.8</v>
      </c>
      <c r="B25" s="41">
        <v>2200.0</v>
      </c>
      <c r="C25" s="41">
        <v>178.3</v>
      </c>
      <c r="D25" s="67">
        <f t="shared" si="1"/>
        <v>0.26768179</v>
      </c>
      <c r="E25" s="68">
        <f t="shared" si="2"/>
        <v>1736.42804</v>
      </c>
      <c r="F25" s="68">
        <f t="shared" si="3"/>
        <v>3687.798513</v>
      </c>
      <c r="G25" s="68">
        <f t="shared" si="4"/>
        <v>1069.656433</v>
      </c>
      <c r="H25" s="69">
        <f t="shared" si="5"/>
        <v>2498.457612</v>
      </c>
      <c r="I25" s="68">
        <f t="shared" si="6"/>
        <v>34585.82568</v>
      </c>
      <c r="J25" s="40"/>
      <c r="K25" s="41">
        <v>2.44</v>
      </c>
      <c r="L25" s="70">
        <f>8760+834</f>
        <v>9594</v>
      </c>
      <c r="M25" s="71">
        <f t="shared" si="7"/>
        <v>3931.967213</v>
      </c>
      <c r="N25" s="67">
        <f t="shared" si="8"/>
        <v>0.8689647541</v>
      </c>
      <c r="O25" s="72">
        <f t="shared" si="9"/>
        <v>7022.493443</v>
      </c>
      <c r="P25" s="72">
        <f t="shared" si="10"/>
        <v>11461.68443</v>
      </c>
      <c r="Q25" s="68">
        <f t="shared" si="11"/>
        <v>3472.383157</v>
      </c>
      <c r="R25" s="69">
        <f t="shared" si="12"/>
        <v>10104.30711</v>
      </c>
      <c r="S25" s="68">
        <f t="shared" si="13"/>
        <v>112274.5911</v>
      </c>
      <c r="T25" s="41"/>
      <c r="U25" s="41"/>
      <c r="V25" s="41"/>
      <c r="W25" s="41"/>
      <c r="X25" s="41"/>
      <c r="Y25" s="41"/>
      <c r="Z25" s="41"/>
      <c r="AA25" s="41"/>
      <c r="AI25" s="57" t="s">
        <v>22</v>
      </c>
      <c r="AJ25" s="57" t="s">
        <v>54</v>
      </c>
      <c r="AK25" s="58">
        <v>174.0</v>
      </c>
      <c r="AL25" s="58">
        <v>9.0</v>
      </c>
      <c r="AM25" s="58">
        <v>38.0</v>
      </c>
      <c r="AN25" s="58"/>
      <c r="AO25" s="59">
        <f>SUM(AK25:AN25)</f>
        <v>221</v>
      </c>
      <c r="AP25" s="59">
        <f>AO25/1000</f>
        <v>0.221</v>
      </c>
    </row>
    <row r="26" ht="15.75" customHeight="1">
      <c r="A26" s="41"/>
      <c r="B26" s="41">
        <v>2400.0</v>
      </c>
      <c r="C26" s="41">
        <v>194.5</v>
      </c>
      <c r="D26" s="67">
        <f t="shared" si="1"/>
        <v>0.29200285</v>
      </c>
      <c r="E26" s="68">
        <f t="shared" si="2"/>
        <v>1894.1966</v>
      </c>
      <c r="F26" s="68">
        <f t="shared" si="3"/>
        <v>4022.864895</v>
      </c>
      <c r="G26" s="68">
        <f t="shared" si="4"/>
        <v>1166.843389</v>
      </c>
      <c r="H26" s="69">
        <f t="shared" si="5"/>
        <v>2725.462734</v>
      </c>
      <c r="I26" s="68">
        <f t="shared" si="6"/>
        <v>37728.22823</v>
      </c>
      <c r="J26" s="40"/>
      <c r="K26" s="41">
        <v>2.44</v>
      </c>
      <c r="L26" s="70">
        <v>11261.0</v>
      </c>
      <c r="M26" s="71">
        <f t="shared" si="7"/>
        <v>4615.163934</v>
      </c>
      <c r="N26" s="67">
        <f t="shared" si="8"/>
        <v>1.01995123</v>
      </c>
      <c r="O26" s="72">
        <f t="shared" si="9"/>
        <v>8242.682787</v>
      </c>
      <c r="P26" s="72">
        <f t="shared" si="10"/>
        <v>13453.20287</v>
      </c>
      <c r="Q26" s="68">
        <f t="shared" si="11"/>
        <v>4075.725113</v>
      </c>
      <c r="R26" s="69">
        <f t="shared" si="12"/>
        <v>11859.97523</v>
      </c>
      <c r="S26" s="68">
        <f t="shared" si="13"/>
        <v>131782.7986</v>
      </c>
      <c r="T26" s="70"/>
      <c r="U26" s="41"/>
      <c r="V26" s="41"/>
      <c r="W26" s="41"/>
      <c r="X26" s="41"/>
      <c r="Y26" s="41"/>
      <c r="Z26" s="41"/>
      <c r="AA26" s="41"/>
    </row>
    <row r="27" ht="15.75" customHeight="1">
      <c r="A27" s="41"/>
      <c r="B27" s="41">
        <v>2600.0</v>
      </c>
      <c r="C27" s="41">
        <v>210.7</v>
      </c>
      <c r="D27" s="67">
        <f t="shared" si="1"/>
        <v>0.31632391</v>
      </c>
      <c r="E27" s="68">
        <f t="shared" si="2"/>
        <v>2051.96516</v>
      </c>
      <c r="F27" s="68">
        <f t="shared" si="3"/>
        <v>4357.931277</v>
      </c>
      <c r="G27" s="68">
        <f t="shared" si="4"/>
        <v>1264.030344</v>
      </c>
      <c r="H27" s="69">
        <f t="shared" si="5"/>
        <v>2952.467856</v>
      </c>
      <c r="I27" s="68">
        <f t="shared" si="6"/>
        <v>40870.63079</v>
      </c>
      <c r="J27" s="40"/>
      <c r="K27" s="41">
        <v>2.44</v>
      </c>
      <c r="L27" s="70">
        <f>11261+2626</f>
        <v>13887</v>
      </c>
      <c r="M27" s="71">
        <f t="shared" si="7"/>
        <v>5691.393443</v>
      </c>
      <c r="N27" s="67">
        <f t="shared" si="8"/>
        <v>1.257797951</v>
      </c>
      <c r="O27" s="72">
        <f t="shared" si="9"/>
        <v>10164.82869</v>
      </c>
      <c r="P27" s="72">
        <f t="shared" si="10"/>
        <v>16590.41189</v>
      </c>
      <c r="Q27" s="68">
        <f t="shared" si="11"/>
        <v>5026.160611</v>
      </c>
      <c r="R27" s="69">
        <f t="shared" si="12"/>
        <v>14625.65279</v>
      </c>
      <c r="S27" s="68">
        <f t="shared" si="13"/>
        <v>162513.7842</v>
      </c>
      <c r="T27" s="41"/>
      <c r="U27" s="41"/>
      <c r="V27" s="41"/>
      <c r="W27" s="41"/>
      <c r="X27" s="41"/>
      <c r="Y27" s="41"/>
      <c r="Z27" s="41"/>
      <c r="AA27" s="41"/>
      <c r="AI27" s="57" t="s">
        <v>23</v>
      </c>
      <c r="AJ27" s="57" t="s">
        <v>45</v>
      </c>
      <c r="AK27" s="78">
        <v>1276.0</v>
      </c>
      <c r="AL27" s="78"/>
      <c r="AM27" s="78">
        <v>510.0</v>
      </c>
      <c r="AN27" s="86"/>
    </row>
    <row r="28" ht="15.75" customHeight="1">
      <c r="A28" s="41" t="s">
        <v>55</v>
      </c>
      <c r="B28" s="41">
        <v>2700.0</v>
      </c>
      <c r="C28" s="41">
        <v>250.0</v>
      </c>
      <c r="D28" s="67">
        <f t="shared" si="1"/>
        <v>0.375325</v>
      </c>
      <c r="E28" s="68">
        <f t="shared" si="2"/>
        <v>2434.7</v>
      </c>
      <c r="F28" s="68">
        <f t="shared" si="3"/>
        <v>5170.7775</v>
      </c>
      <c r="G28" s="68">
        <f t="shared" si="4"/>
        <v>1499.7987</v>
      </c>
      <c r="H28" s="69">
        <f t="shared" si="5"/>
        <v>3503.165468</v>
      </c>
      <c r="I28" s="68">
        <f t="shared" si="6"/>
        <v>48493.86663</v>
      </c>
      <c r="J28" s="40"/>
      <c r="K28" s="41">
        <v>2.44</v>
      </c>
      <c r="L28" s="70">
        <v>15200.0</v>
      </c>
      <c r="M28" s="71">
        <f t="shared" si="7"/>
        <v>6229.508197</v>
      </c>
      <c r="N28" s="67">
        <f t="shared" si="8"/>
        <v>1.376721311</v>
      </c>
      <c r="O28" s="72">
        <f t="shared" si="9"/>
        <v>11125.90164</v>
      </c>
      <c r="P28" s="72">
        <f t="shared" si="10"/>
        <v>18159.01639</v>
      </c>
      <c r="Q28" s="68">
        <f t="shared" si="11"/>
        <v>5501.378361</v>
      </c>
      <c r="R28" s="69">
        <f t="shared" si="12"/>
        <v>16008.49157</v>
      </c>
      <c r="S28" s="68">
        <f t="shared" si="13"/>
        <v>177879.277</v>
      </c>
      <c r="T28" s="70"/>
      <c r="U28" s="41"/>
      <c r="V28" s="41"/>
      <c r="W28" s="41"/>
      <c r="X28" s="41"/>
      <c r="Y28" s="41"/>
      <c r="Z28" s="41"/>
      <c r="AA28" s="41"/>
      <c r="AK28" s="58"/>
      <c r="AL28" s="73"/>
      <c r="AM28" s="73"/>
      <c r="AN28" s="73"/>
    </row>
    <row r="29" ht="15.75" customHeight="1">
      <c r="A29" s="41"/>
      <c r="B29" s="41">
        <v>3000.0</v>
      </c>
      <c r="C29" s="41">
        <v>278.0</v>
      </c>
      <c r="D29" s="67">
        <f t="shared" si="1"/>
        <v>0.4173614</v>
      </c>
      <c r="E29" s="68">
        <f t="shared" si="2"/>
        <v>2707.3864</v>
      </c>
      <c r="F29" s="68">
        <f t="shared" si="3"/>
        <v>5749.90458</v>
      </c>
      <c r="G29" s="68">
        <f t="shared" si="4"/>
        <v>1667.776154</v>
      </c>
      <c r="H29" s="69">
        <f t="shared" si="5"/>
        <v>3895.52</v>
      </c>
      <c r="I29" s="68">
        <f t="shared" si="6"/>
        <v>53925.17969</v>
      </c>
      <c r="J29" s="40"/>
      <c r="K29" s="41">
        <v>2.44</v>
      </c>
      <c r="L29" s="70">
        <v>17671.0</v>
      </c>
      <c r="M29" s="71">
        <f t="shared" si="7"/>
        <v>7242.213115</v>
      </c>
      <c r="N29" s="67">
        <f t="shared" si="8"/>
        <v>1.600529098</v>
      </c>
      <c r="O29" s="72">
        <f t="shared" si="9"/>
        <v>12934.59262</v>
      </c>
      <c r="P29" s="72">
        <f t="shared" si="10"/>
        <v>21111.05123</v>
      </c>
      <c r="Q29" s="68">
        <f t="shared" si="11"/>
        <v>6395.714277</v>
      </c>
      <c r="R29" s="69">
        <f t="shared" si="12"/>
        <v>18610.92464</v>
      </c>
      <c r="S29" s="68">
        <f t="shared" si="13"/>
        <v>206796.3622</v>
      </c>
      <c r="T29" s="41"/>
      <c r="U29" s="41"/>
      <c r="V29" s="41"/>
      <c r="W29" s="41"/>
      <c r="X29" s="41"/>
      <c r="Y29" s="41"/>
      <c r="Z29" s="41"/>
      <c r="AA29" s="41"/>
      <c r="AK29" s="74">
        <f t="shared" ref="AK29:AM29" si="17">AK27</f>
        <v>1276</v>
      </c>
      <c r="AL29" s="74" t="str">
        <f t="shared" si="17"/>
        <v/>
      </c>
      <c r="AM29" s="74">
        <f t="shared" si="17"/>
        <v>510</v>
      </c>
      <c r="AN29" s="74"/>
      <c r="AO29" s="74">
        <f>SUM(AK29:AN29)</f>
        <v>1786</v>
      </c>
    </row>
    <row r="30" ht="15.75" customHeight="1">
      <c r="A30" s="41"/>
      <c r="B30" s="41">
        <v>3300.0</v>
      </c>
      <c r="C30" s="41">
        <v>305.0</v>
      </c>
      <c r="D30" s="67">
        <f t="shared" si="1"/>
        <v>0.4578965</v>
      </c>
      <c r="E30" s="68">
        <f t="shared" si="2"/>
        <v>2970.334</v>
      </c>
      <c r="F30" s="68">
        <f t="shared" si="3"/>
        <v>6308.34855</v>
      </c>
      <c r="G30" s="68">
        <f t="shared" si="4"/>
        <v>1829.754414</v>
      </c>
      <c r="H30" s="69">
        <f t="shared" si="5"/>
        <v>4273.861871</v>
      </c>
      <c r="I30" s="68">
        <f t="shared" si="6"/>
        <v>59162.51728</v>
      </c>
      <c r="J30" s="40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ht="15.75" customHeight="1">
      <c r="A31" s="41">
        <v>3.5</v>
      </c>
      <c r="B31" s="41">
        <v>3600.0</v>
      </c>
      <c r="C31" s="41">
        <v>410.0</v>
      </c>
      <c r="D31" s="67">
        <f t="shared" si="1"/>
        <v>0.615533</v>
      </c>
      <c r="E31" s="68">
        <f t="shared" si="2"/>
        <v>3992.908</v>
      </c>
      <c r="F31" s="68">
        <f t="shared" si="3"/>
        <v>8480.0751</v>
      </c>
      <c r="G31" s="68">
        <f t="shared" si="4"/>
        <v>2459.669868</v>
      </c>
      <c r="H31" s="69">
        <f t="shared" si="5"/>
        <v>5745.191367</v>
      </c>
      <c r="I31" s="68">
        <f t="shared" si="6"/>
        <v>79529.94127</v>
      </c>
      <c r="J31" s="40"/>
      <c r="K31" s="40"/>
      <c r="L31" s="40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I31" s="57" t="s">
        <v>48</v>
      </c>
      <c r="AJ31" s="57" t="s">
        <v>51</v>
      </c>
      <c r="AK31" s="78">
        <v>2098.0</v>
      </c>
      <c r="AL31" s="78">
        <v>141.0</v>
      </c>
      <c r="AM31" s="78">
        <v>676.0</v>
      </c>
      <c r="AN31" s="86"/>
      <c r="AO31" s="74">
        <f>SUM(AK31:AN31)</f>
        <v>2915</v>
      </c>
    </row>
    <row r="32" ht="15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I32" s="57" t="s">
        <v>50</v>
      </c>
      <c r="AK32" s="58"/>
      <c r="AL32" s="73"/>
      <c r="AM32" s="73"/>
      <c r="AN32" s="73"/>
    </row>
    <row r="33" ht="15.75" customHeight="1">
      <c r="A33" s="41"/>
      <c r="B33" s="44">
        <v>1.0</v>
      </c>
      <c r="C33" s="44">
        <f t="shared" ref="C33:S33" si="18">B33+1</f>
        <v>2</v>
      </c>
      <c r="D33" s="44">
        <f t="shared" si="18"/>
        <v>3</v>
      </c>
      <c r="E33" s="44">
        <f t="shared" si="18"/>
        <v>4</v>
      </c>
      <c r="F33" s="44">
        <f t="shared" si="18"/>
        <v>5</v>
      </c>
      <c r="G33" s="44">
        <f t="shared" si="18"/>
        <v>6</v>
      </c>
      <c r="H33" s="44">
        <f t="shared" si="18"/>
        <v>7</v>
      </c>
      <c r="I33" s="44">
        <f t="shared" si="18"/>
        <v>8</v>
      </c>
      <c r="J33" s="44">
        <f t="shared" si="18"/>
        <v>9</v>
      </c>
      <c r="K33" s="44">
        <f t="shared" si="18"/>
        <v>10</v>
      </c>
      <c r="L33" s="44">
        <f t="shared" si="18"/>
        <v>11</v>
      </c>
      <c r="M33" s="44">
        <f t="shared" si="18"/>
        <v>12</v>
      </c>
      <c r="N33" s="44">
        <f t="shared" si="18"/>
        <v>13</v>
      </c>
      <c r="O33" s="44">
        <f t="shared" si="18"/>
        <v>14</v>
      </c>
      <c r="P33" s="44">
        <f t="shared" si="18"/>
        <v>15</v>
      </c>
      <c r="Q33" s="44">
        <f t="shared" si="18"/>
        <v>16</v>
      </c>
      <c r="R33" s="44">
        <f t="shared" si="18"/>
        <v>17</v>
      </c>
      <c r="S33" s="44">
        <f t="shared" si="18"/>
        <v>18</v>
      </c>
      <c r="T33" s="41"/>
      <c r="U33" s="41"/>
      <c r="V33" s="41"/>
      <c r="W33" s="41"/>
      <c r="X33" s="41"/>
      <c r="Y33" s="41"/>
      <c r="Z33" s="41"/>
      <c r="AA33" s="41"/>
      <c r="AK33" s="83"/>
      <c r="AL33" s="83"/>
      <c r="AM33" s="83"/>
      <c r="AN33" s="83"/>
      <c r="AO33" s="83"/>
    </row>
    <row r="34" ht="15.75" customHeight="1">
      <c r="A34" s="41"/>
      <c r="B34" s="41"/>
      <c r="C34" s="41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ht="15.75" customHeight="1">
      <c r="A35" s="41"/>
      <c r="B35" s="41" t="s">
        <v>56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K35" s="66"/>
      <c r="AL35" s="66"/>
      <c r="AM35" s="66"/>
      <c r="AN35" s="87"/>
      <c r="AO35" s="88"/>
    </row>
    <row r="36" ht="15.75" customHeight="1">
      <c r="A36" s="41"/>
      <c r="B36" s="89" t="s">
        <v>57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K36" s="73"/>
      <c r="AL36" s="73"/>
      <c r="AM36" s="73"/>
      <c r="AN36" s="73"/>
    </row>
    <row r="37" ht="15.75" customHeight="1">
      <c r="A37" s="41"/>
      <c r="B37" s="89" t="s">
        <v>58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K37" s="83"/>
      <c r="AL37" s="83"/>
      <c r="AM37" s="83"/>
      <c r="AN37" s="83"/>
      <c r="AO37" s="83"/>
    </row>
    <row r="38" ht="15.75" customHeight="1">
      <c r="A38" s="41"/>
      <c r="B38" s="41" t="s">
        <v>59</v>
      </c>
      <c r="C38" s="41"/>
      <c r="D38" s="41" t="s">
        <v>60</v>
      </c>
      <c r="E38" s="41" t="s">
        <v>61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ht="15.75" customHeight="1">
      <c r="A39" s="41"/>
      <c r="B39" s="41">
        <v>2000.0</v>
      </c>
      <c r="C39" s="41">
        <v>244956.0</v>
      </c>
      <c r="D39" s="41">
        <f>B3:B39/C39</f>
        <v>0.008164731625</v>
      </c>
      <c r="E39" s="90">
        <f>D39/B39</f>
        <v>0.000004082365813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K39" s="58"/>
      <c r="AL39" s="58"/>
      <c r="AM39" s="58"/>
      <c r="AN39" s="58"/>
      <c r="AO39" s="91"/>
    </row>
    <row r="40" ht="15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K40" s="58"/>
      <c r="AL40" s="73"/>
      <c r="AM40" s="73"/>
      <c r="AN40" s="58"/>
    </row>
    <row r="41" ht="15.75" customHeight="1">
      <c r="A41" s="41"/>
      <c r="B41" s="41" t="s">
        <v>45</v>
      </c>
      <c r="C41" s="41">
        <v>4.54609</v>
      </c>
      <c r="D41" s="41"/>
      <c r="E41" s="90">
        <f>E39/C41</f>
        <v>0.0000008979949391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K41" s="85"/>
      <c r="AL41" s="85"/>
      <c r="AM41" s="85"/>
      <c r="AN41" s="85"/>
      <c r="AO41" s="85"/>
    </row>
    <row r="42" ht="15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ht="15.75" customHeight="1">
      <c r="A43" s="41"/>
      <c r="B43" s="41" t="s">
        <v>62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K43" s="78"/>
      <c r="AL43" s="78"/>
      <c r="AM43" s="78"/>
      <c r="AN43" s="78"/>
      <c r="AO43" s="22"/>
    </row>
    <row r="44" ht="15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ht="15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ht="15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ht="15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ht="15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ht="15.75" customHeight="1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ht="15.75" customHeight="1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ht="15.75" customHeight="1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ht="15.75" customHeight="1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ht="15.75" customHeight="1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ht="15.75" customHeight="1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ht="15.75" customHeight="1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ht="15.75" customHeight="1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ht="15.75" customHeight="1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ht="15.75" customHeight="1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  <row r="70" ht="15.75" customHeight="1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ht="15.75" customHeight="1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ht="15.75" customHeight="1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ht="15.75" customHeight="1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ht="15.75" customHeight="1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ht="15.75" customHeight="1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ht="15.75" customHeight="1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ht="15.75" customHeight="1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ht="15.75" customHeight="1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ht="15.75" customHeight="1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ht="15.75" customHeight="1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ht="15.75" customHeight="1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ht="15.75" customHeight="1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ht="15.75" customHeight="1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ht="15.75" customHeight="1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</row>
    <row r="85" ht="15.75" customHeight="1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</row>
    <row r="86" ht="15.75" customHeight="1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</row>
    <row r="87" ht="15.75" customHeight="1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</row>
    <row r="88" ht="15.75" customHeight="1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</row>
    <row r="89" ht="15.75" customHeight="1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</row>
    <row r="90" ht="15.75" customHeight="1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ht="15.75" customHeight="1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</row>
    <row r="92" ht="15.75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</row>
    <row r="93" ht="15.75" customHeight="1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</row>
    <row r="94" ht="15.75" customHeight="1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</row>
    <row r="95" ht="15.75" customHeight="1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</row>
    <row r="96" ht="15.75" customHeight="1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</row>
    <row r="97" ht="15.75" customHeight="1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</row>
    <row r="98" ht="15.75" customHeight="1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K1:P1"/>
  </mergeCells>
  <printOptions/>
  <pageMargins bottom="0.75" footer="0.0" header="0.0" left="0.7" right="0.7" top="0.75"/>
  <pageSetup orientation="portrait"/>
  <drawing r:id="rId1"/>
</worksheet>
</file>